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5.xml" ContentType="application/vnd.openxmlformats-officedocument.drawing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6.xml" ContentType="application/vnd.openxmlformats-officedocument.drawing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pivotTables/pivotTable55.xml" ContentType="application/vnd.openxmlformats-officedocument.spreadsheetml.pivotTable+xml"/>
  <Override PartName="/xl/pivotTables/pivotTable56.xml" ContentType="application/vnd.openxmlformats-officedocument.spreadsheetml.pivotTable+xml"/>
  <Override PartName="/xl/pivotTables/pivotTable57.xml" ContentType="application/vnd.openxmlformats-officedocument.spreadsheetml.pivotTable+xml"/>
  <Override PartName="/xl/pivotTables/pivotTable58.xml" ContentType="application/vnd.openxmlformats-officedocument.spreadsheetml.pivotTable+xml"/>
  <Override PartName="/xl/pivotTables/pivotTable59.xml" ContentType="application/vnd.openxmlformats-officedocument.spreadsheetml.pivotTable+xml"/>
  <Override PartName="/xl/pivotTables/pivotTable60.xml" ContentType="application/vnd.openxmlformats-officedocument.spreadsheetml.pivotTable+xml"/>
  <Override PartName="/xl/pivotTables/pivotTable61.xml" ContentType="application/vnd.openxmlformats-officedocument.spreadsheetml.pivotTable+xml"/>
  <Override PartName="/xl/pivotTables/pivotTable62.xml" ContentType="application/vnd.openxmlformats-officedocument.spreadsheetml.pivotTable+xml"/>
  <Override PartName="/xl/pivotTables/pivotTable63.xml" ContentType="application/vnd.openxmlformats-officedocument.spreadsheetml.pivotTable+xml"/>
  <Override PartName="/xl/pivotTables/pivotTable64.xml" ContentType="application/vnd.openxmlformats-officedocument.spreadsheetml.pivotTable+xml"/>
  <Override PartName="/xl/pivotTables/pivotTable65.xml" ContentType="application/vnd.openxmlformats-officedocument.spreadsheetml.pivotTable+xml"/>
  <Override PartName="/xl/pivotTables/pivotTable66.xml" ContentType="application/vnd.openxmlformats-officedocument.spreadsheetml.pivotTable+xml"/>
  <Override PartName="/xl/pivotTables/pivotTable67.xml" ContentType="application/vnd.openxmlformats-officedocument.spreadsheetml.pivotTable+xml"/>
  <Override PartName="/xl/pivotTables/pivotTable68.xml" ContentType="application/vnd.openxmlformats-officedocument.spreadsheetml.pivotTable+xml"/>
  <Override PartName="/xl/pivotTables/pivotTable69.xml" ContentType="application/vnd.openxmlformats-officedocument.spreadsheetml.pivotTable+xml"/>
  <Override PartName="/xl/pivotTables/pivotTable70.xml" ContentType="application/vnd.openxmlformats-officedocument.spreadsheetml.pivotTable+xml"/>
  <Override PartName="/xl/pivotTables/pivotTable71.xml" ContentType="application/vnd.openxmlformats-officedocument.spreadsheetml.pivotTable+xml"/>
  <Override PartName="/xl/pivotTables/pivotTable72.xml" ContentType="application/vnd.openxmlformats-officedocument.spreadsheetml.pivotTable+xml"/>
  <Override PartName="/xl/pivotTables/pivotTable73.xml" ContentType="application/vnd.openxmlformats-officedocument.spreadsheetml.pivotTable+xml"/>
  <Override PartName="/xl/pivotTables/pivotTable74.xml" ContentType="application/vnd.openxmlformats-officedocument.spreadsheetml.pivotTable+xml"/>
  <Override PartName="/xl/pivotTables/pivotTable75.xml" ContentType="application/vnd.openxmlformats-officedocument.spreadsheetml.pivotTable+xml"/>
  <Override PartName="/xl/pivotTables/pivotTable76.xml" ContentType="application/vnd.openxmlformats-officedocument.spreadsheetml.pivotTable+xml"/>
  <Override PartName="/xl/pivotTables/pivotTable77.xml" ContentType="application/vnd.openxmlformats-officedocument.spreadsheetml.pivotTable+xml"/>
  <Override PartName="/xl/pivotTables/pivotTable78.xml" ContentType="application/vnd.openxmlformats-officedocument.spreadsheetml.pivotTable+xml"/>
  <Override PartName="/xl/pivotTables/pivotTable79.xml" ContentType="application/vnd.openxmlformats-officedocument.spreadsheetml.pivotTable+xml"/>
  <Override PartName="/xl/pivotTables/pivotTable80.xml" ContentType="application/vnd.openxmlformats-officedocument.spreadsheetml.pivotTable+xml"/>
  <Override PartName="/xl/pivotTables/pivotTable81.xml" ContentType="application/vnd.openxmlformats-officedocument.spreadsheetml.pivot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9720" tabRatio="839" firstSheet="12" activeTab="15"/>
  </bookViews>
  <sheets>
    <sheet name="INVENTARIO" sheetId="4" r:id="rId1"/>
    <sheet name="BASE" sheetId="1" r:id="rId2"/>
    <sheet name="OBRA" sheetId="2" r:id="rId3"/>
    <sheet name="UBICACIONES VENTAS" sheetId="3" r:id="rId4"/>
    <sheet name="PROSPECCIÓN" sheetId="7" r:id="rId5"/>
    <sheet name="CRÉDITO PUENTE" sheetId="8" r:id="rId6"/>
    <sheet name="PROYECCIONES FIRMA" sheetId="9" r:id="rId7"/>
    <sheet name="METAS" sheetId="13" r:id="rId8"/>
    <sheet name="MADURACIÓN ENGANCHES" sheetId="12" r:id="rId9"/>
    <sheet name="SEGUIMIENTO DPF" sheetId="22" r:id="rId10"/>
    <sheet name="COMISIONES VENTAS" sheetId="23" r:id="rId11"/>
    <sheet name="TEMAS VARIOS" sheetId="21" r:id="rId12"/>
    <sheet name="MASCARILLA INVENTARIO" sheetId="24" r:id="rId13"/>
    <sheet name="MASCARILLAS PROSPECCIÓN" sheetId="25" r:id="rId14"/>
    <sheet name="MASCARILLA SEG-CLIENTE" sheetId="26" r:id="rId15"/>
    <sheet name="MASCARILLA PAGO DE COMISIONES" sheetId="27" r:id="rId16"/>
    <sheet name="VISOR ANTERIOR A MASCARILLA" sheetId="28" r:id="rId17"/>
  </sheets>
  <externalReferences>
    <externalReference r:id="rId18"/>
  </externalReferences>
  <definedNames>
    <definedName name="_xlnm._FilterDatabase" localSheetId="1" hidden="1">BASE!$A$1:$DP$255</definedName>
  </definedNames>
  <calcPr calcId="145621"/>
  <pivotCaches>
    <pivotCache cacheId="26" r:id="rId19"/>
    <pivotCache cacheId="34" r:id="rId20"/>
    <pivotCache cacheId="54" r:id="rId21"/>
  </pivotCaches>
</workbook>
</file>

<file path=xl/calcChain.xml><?xml version="1.0" encoding="utf-8"?>
<calcChain xmlns="http://schemas.openxmlformats.org/spreadsheetml/2006/main">
  <c r="C234" i="1" l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H29" i="25"/>
  <c r="F29" i="25"/>
  <c r="H19" i="25"/>
  <c r="D19" i="25"/>
  <c r="B19" i="25"/>
  <c r="B8" i="25"/>
  <c r="I10" i="12"/>
  <c r="I37" i="27"/>
  <c r="H37" i="27"/>
  <c r="I34" i="27"/>
  <c r="H34" i="27"/>
  <c r="I31" i="27"/>
  <c r="H31" i="27"/>
  <c r="E28" i="27"/>
  <c r="E27" i="27"/>
  <c r="J13" i="27"/>
  <c r="H13" i="27"/>
  <c r="F13" i="27"/>
  <c r="D37" i="27" s="1"/>
  <c r="D13" i="27"/>
  <c r="B13" i="27"/>
  <c r="F10" i="27"/>
  <c r="D10" i="27"/>
  <c r="B10" i="27"/>
  <c r="J7" i="27"/>
  <c r="H7" i="27"/>
  <c r="B7" i="27"/>
  <c r="H4" i="27"/>
  <c r="B4" i="27"/>
  <c r="J36" i="26"/>
  <c r="H36" i="26"/>
  <c r="G36" i="26"/>
  <c r="F36" i="26"/>
  <c r="E36" i="26"/>
  <c r="D36" i="26"/>
  <c r="J13" i="26"/>
  <c r="H13" i="26"/>
  <c r="F13" i="26"/>
  <c r="D13" i="26"/>
  <c r="B36" i="26" s="1"/>
  <c r="B13" i="26"/>
  <c r="F10" i="26"/>
  <c r="D10" i="26"/>
  <c r="B10" i="26"/>
  <c r="J7" i="26"/>
  <c r="H7" i="26"/>
  <c r="B7" i="26"/>
  <c r="H4" i="26"/>
  <c r="B4" i="26"/>
  <c r="F37" i="24"/>
  <c r="D37" i="24"/>
  <c r="B37" i="24"/>
  <c r="D26" i="24"/>
  <c r="B26" i="24"/>
  <c r="H22" i="24"/>
  <c r="D22" i="24"/>
  <c r="D16" i="24"/>
  <c r="B7" i="24"/>
  <c r="D34" i="27" l="1"/>
  <c r="D31" i="27"/>
  <c r="C36" i="26"/>
  <c r="I36" i="26"/>
  <c r="BY234" i="1"/>
  <c r="BX234" i="1"/>
  <c r="BW234" i="1"/>
  <c r="BV234" i="1"/>
  <c r="BY233" i="1"/>
  <c r="BX233" i="1"/>
  <c r="BW233" i="1"/>
  <c r="BV233" i="1"/>
  <c r="BY232" i="1"/>
  <c r="BX232" i="1"/>
  <c r="BW232" i="1"/>
  <c r="BV232" i="1"/>
  <c r="BY231" i="1"/>
  <c r="BX231" i="1"/>
  <c r="BW231" i="1"/>
  <c r="BV231" i="1"/>
  <c r="BY230" i="1"/>
  <c r="BX230" i="1"/>
  <c r="BW230" i="1"/>
  <c r="BV230" i="1"/>
  <c r="BY229" i="1"/>
  <c r="BX229" i="1"/>
  <c r="BW229" i="1"/>
  <c r="BV229" i="1"/>
  <c r="BY228" i="1"/>
  <c r="BX228" i="1"/>
  <c r="BW228" i="1"/>
  <c r="BV228" i="1"/>
  <c r="BY227" i="1"/>
  <c r="BX227" i="1"/>
  <c r="BW227" i="1"/>
  <c r="BV227" i="1"/>
  <c r="BY226" i="1"/>
  <c r="BX226" i="1"/>
  <c r="BW226" i="1"/>
  <c r="BV226" i="1"/>
  <c r="BY225" i="1"/>
  <c r="BX225" i="1"/>
  <c r="BW225" i="1"/>
  <c r="BV225" i="1"/>
  <c r="BY224" i="1"/>
  <c r="BX224" i="1"/>
  <c r="BW224" i="1"/>
  <c r="BV224" i="1"/>
  <c r="BY223" i="1"/>
  <c r="BX223" i="1"/>
  <c r="BW223" i="1"/>
  <c r="BV223" i="1"/>
  <c r="BY222" i="1"/>
  <c r="BX222" i="1"/>
  <c r="BW222" i="1"/>
  <c r="BV222" i="1"/>
  <c r="BY221" i="1"/>
  <c r="BX221" i="1"/>
  <c r="BW221" i="1"/>
  <c r="BV221" i="1"/>
  <c r="BY220" i="1"/>
  <c r="BX220" i="1"/>
  <c r="BW220" i="1"/>
  <c r="BV220" i="1"/>
  <c r="BY219" i="1"/>
  <c r="BX219" i="1"/>
  <c r="BW219" i="1"/>
  <c r="BV219" i="1"/>
  <c r="BY218" i="1"/>
  <c r="BX218" i="1"/>
  <c r="BW218" i="1"/>
  <c r="BV218" i="1"/>
  <c r="BY217" i="1"/>
  <c r="BX217" i="1"/>
  <c r="BW217" i="1"/>
  <c r="BV217" i="1"/>
  <c r="BY216" i="1"/>
  <c r="BX216" i="1"/>
  <c r="BW216" i="1"/>
  <c r="BV216" i="1"/>
  <c r="BY215" i="1"/>
  <c r="BX215" i="1"/>
  <c r="BW215" i="1"/>
  <c r="BV215" i="1"/>
  <c r="BY214" i="1"/>
  <c r="BX214" i="1"/>
  <c r="BW214" i="1"/>
  <c r="BV214" i="1"/>
  <c r="BY213" i="1"/>
  <c r="BX213" i="1"/>
  <c r="BW213" i="1"/>
  <c r="BV213" i="1"/>
  <c r="BY212" i="1"/>
  <c r="BX212" i="1"/>
  <c r="BW212" i="1"/>
  <c r="BV212" i="1"/>
  <c r="BY211" i="1"/>
  <c r="BX211" i="1"/>
  <c r="BW211" i="1"/>
  <c r="BV211" i="1"/>
  <c r="BY210" i="1"/>
  <c r="BX210" i="1"/>
  <c r="BW210" i="1"/>
  <c r="BV210" i="1"/>
  <c r="BY209" i="1"/>
  <c r="BX209" i="1"/>
  <c r="BW209" i="1"/>
  <c r="BV209" i="1"/>
  <c r="BY208" i="1"/>
  <c r="BX208" i="1"/>
  <c r="BW208" i="1"/>
  <c r="BV208" i="1"/>
  <c r="BY207" i="1"/>
  <c r="BX207" i="1"/>
  <c r="BW207" i="1"/>
  <c r="BV207" i="1"/>
  <c r="BY206" i="1"/>
  <c r="BX206" i="1"/>
  <c r="BW206" i="1"/>
  <c r="BV206" i="1"/>
  <c r="BY205" i="1"/>
  <c r="BX205" i="1"/>
  <c r="BW205" i="1"/>
  <c r="BV205" i="1"/>
  <c r="BY204" i="1"/>
  <c r="BX204" i="1"/>
  <c r="BW204" i="1"/>
  <c r="BV204" i="1"/>
  <c r="BY203" i="1"/>
  <c r="BX203" i="1"/>
  <c r="BW203" i="1"/>
  <c r="BV203" i="1"/>
  <c r="BY202" i="1"/>
  <c r="BX202" i="1"/>
  <c r="BW202" i="1"/>
  <c r="BV202" i="1"/>
  <c r="BY201" i="1"/>
  <c r="BX201" i="1"/>
  <c r="BW201" i="1"/>
  <c r="BV201" i="1"/>
  <c r="BY200" i="1"/>
  <c r="BX200" i="1"/>
  <c r="BW200" i="1"/>
  <c r="BV200" i="1"/>
  <c r="BY199" i="1"/>
  <c r="BX199" i="1"/>
  <c r="BW199" i="1"/>
  <c r="BV199" i="1"/>
  <c r="BY198" i="1"/>
  <c r="BX198" i="1"/>
  <c r="BW198" i="1"/>
  <c r="BV198" i="1"/>
  <c r="BY197" i="1"/>
  <c r="BX197" i="1"/>
  <c r="BW197" i="1"/>
  <c r="BV197" i="1"/>
  <c r="BY196" i="1"/>
  <c r="BX196" i="1"/>
  <c r="BW196" i="1"/>
  <c r="BV196" i="1"/>
  <c r="BY195" i="1"/>
  <c r="BX195" i="1"/>
  <c r="BW195" i="1"/>
  <c r="BV195" i="1"/>
  <c r="BY194" i="1"/>
  <c r="BX194" i="1"/>
  <c r="BW194" i="1"/>
  <c r="BV194" i="1"/>
  <c r="BY193" i="1"/>
  <c r="BX193" i="1"/>
  <c r="BW193" i="1"/>
  <c r="BV193" i="1"/>
  <c r="BY192" i="1"/>
  <c r="BX192" i="1"/>
  <c r="BW192" i="1"/>
  <c r="BV192" i="1"/>
  <c r="BY191" i="1"/>
  <c r="BX191" i="1"/>
  <c r="BW191" i="1"/>
  <c r="BV191" i="1"/>
  <c r="BY190" i="1"/>
  <c r="BX190" i="1"/>
  <c r="BW190" i="1"/>
  <c r="BV190" i="1"/>
  <c r="BY189" i="1"/>
  <c r="BX189" i="1"/>
  <c r="BW189" i="1"/>
  <c r="BV189" i="1"/>
  <c r="BY188" i="1"/>
  <c r="BX188" i="1"/>
  <c r="BW188" i="1"/>
  <c r="BV188" i="1"/>
  <c r="BY187" i="1"/>
  <c r="BX187" i="1"/>
  <c r="BW187" i="1"/>
  <c r="BV187" i="1"/>
  <c r="BY186" i="1"/>
  <c r="BX186" i="1"/>
  <c r="BW186" i="1"/>
  <c r="BV186" i="1"/>
  <c r="BY185" i="1"/>
  <c r="BX185" i="1"/>
  <c r="BW185" i="1"/>
  <c r="BV185" i="1"/>
  <c r="BY184" i="1"/>
  <c r="BX184" i="1"/>
  <c r="BW184" i="1"/>
  <c r="BV184" i="1"/>
  <c r="BY183" i="1"/>
  <c r="BX183" i="1"/>
  <c r="BW183" i="1"/>
  <c r="BV183" i="1"/>
  <c r="BY182" i="1"/>
  <c r="BX182" i="1"/>
  <c r="BW182" i="1"/>
  <c r="BV182" i="1"/>
  <c r="BY181" i="1"/>
  <c r="BX181" i="1"/>
  <c r="BW181" i="1"/>
  <c r="BV181" i="1"/>
  <c r="BY180" i="1"/>
  <c r="BX180" i="1"/>
  <c r="BW180" i="1"/>
  <c r="BV180" i="1"/>
  <c r="BY179" i="1"/>
  <c r="BX179" i="1"/>
  <c r="BW179" i="1"/>
  <c r="BV179" i="1"/>
  <c r="BY178" i="1"/>
  <c r="BX178" i="1"/>
  <c r="BW178" i="1"/>
  <c r="BV178" i="1"/>
  <c r="BY177" i="1"/>
  <c r="BX177" i="1"/>
  <c r="BW177" i="1"/>
  <c r="BV177" i="1"/>
  <c r="BY176" i="1"/>
  <c r="BX176" i="1"/>
  <c r="BW176" i="1"/>
  <c r="BV176" i="1"/>
  <c r="BY175" i="1"/>
  <c r="BX175" i="1"/>
  <c r="BW175" i="1"/>
  <c r="BV175" i="1"/>
  <c r="BY174" i="1"/>
  <c r="BX174" i="1"/>
  <c r="BW174" i="1"/>
  <c r="BV174" i="1"/>
  <c r="BY173" i="1"/>
  <c r="BX173" i="1"/>
  <c r="BW173" i="1"/>
  <c r="BV173" i="1"/>
  <c r="BY172" i="1"/>
  <c r="BX172" i="1"/>
  <c r="BW172" i="1"/>
  <c r="BV172" i="1"/>
  <c r="BY171" i="1"/>
  <c r="BX171" i="1"/>
  <c r="BW171" i="1"/>
  <c r="BV171" i="1"/>
  <c r="BY170" i="1"/>
  <c r="BX170" i="1"/>
  <c r="BW170" i="1"/>
  <c r="BV170" i="1"/>
  <c r="BY169" i="1"/>
  <c r="BX169" i="1"/>
  <c r="BW169" i="1"/>
  <c r="BV169" i="1"/>
  <c r="BY168" i="1"/>
  <c r="BX168" i="1"/>
  <c r="BW168" i="1"/>
  <c r="BV168" i="1"/>
  <c r="BY167" i="1"/>
  <c r="BX167" i="1"/>
  <c r="BW167" i="1"/>
  <c r="BV167" i="1"/>
  <c r="BY166" i="1"/>
  <c r="BX166" i="1"/>
  <c r="BW166" i="1"/>
  <c r="BV166" i="1"/>
  <c r="BY165" i="1"/>
  <c r="BX165" i="1"/>
  <c r="BW165" i="1"/>
  <c r="BV165" i="1"/>
  <c r="BY164" i="1"/>
  <c r="BX164" i="1"/>
  <c r="BW164" i="1"/>
  <c r="BV164" i="1"/>
  <c r="BY163" i="1"/>
  <c r="BX163" i="1"/>
  <c r="BW163" i="1"/>
  <c r="BV163" i="1"/>
  <c r="BY162" i="1"/>
  <c r="BX162" i="1"/>
  <c r="BW162" i="1"/>
  <c r="BV162" i="1"/>
  <c r="BY161" i="1"/>
  <c r="BX161" i="1"/>
  <c r="BW161" i="1"/>
  <c r="BV161" i="1"/>
  <c r="BY160" i="1"/>
  <c r="BX160" i="1"/>
  <c r="BW160" i="1"/>
  <c r="BV160" i="1"/>
  <c r="BY159" i="1"/>
  <c r="BX159" i="1"/>
  <c r="BW159" i="1"/>
  <c r="BV159" i="1"/>
  <c r="BY158" i="1"/>
  <c r="BX158" i="1"/>
  <c r="BW158" i="1"/>
  <c r="BV158" i="1"/>
  <c r="BY157" i="1"/>
  <c r="BX157" i="1"/>
  <c r="BW157" i="1"/>
  <c r="BV157" i="1"/>
  <c r="BY156" i="1"/>
  <c r="BX156" i="1"/>
  <c r="BW156" i="1"/>
  <c r="BV156" i="1"/>
  <c r="BY155" i="1"/>
  <c r="BX155" i="1"/>
  <c r="BW155" i="1"/>
  <c r="BV155" i="1"/>
  <c r="BY154" i="1"/>
  <c r="BX154" i="1"/>
  <c r="BW154" i="1"/>
  <c r="BV154" i="1"/>
  <c r="BY153" i="1"/>
  <c r="BX153" i="1"/>
  <c r="BW153" i="1"/>
  <c r="BV153" i="1"/>
  <c r="BY152" i="1"/>
  <c r="BX152" i="1"/>
  <c r="BW152" i="1"/>
  <c r="BV152" i="1"/>
  <c r="BY151" i="1"/>
  <c r="BX151" i="1"/>
  <c r="BW151" i="1"/>
  <c r="BV151" i="1"/>
  <c r="BY150" i="1"/>
  <c r="BX150" i="1"/>
  <c r="BW150" i="1"/>
  <c r="BV150" i="1"/>
  <c r="BY149" i="1"/>
  <c r="BX149" i="1"/>
  <c r="BW149" i="1"/>
  <c r="BV149" i="1"/>
  <c r="BY148" i="1"/>
  <c r="BX148" i="1"/>
  <c r="BW148" i="1"/>
  <c r="BV148" i="1"/>
  <c r="BY147" i="1"/>
  <c r="BX147" i="1"/>
  <c r="BW147" i="1"/>
  <c r="BV147" i="1"/>
  <c r="BY146" i="1"/>
  <c r="BX146" i="1"/>
  <c r="BW146" i="1"/>
  <c r="BV146" i="1"/>
  <c r="BY145" i="1"/>
  <c r="BX145" i="1"/>
  <c r="BW145" i="1"/>
  <c r="BV145" i="1"/>
  <c r="BY144" i="1"/>
  <c r="BX144" i="1"/>
  <c r="BW144" i="1"/>
  <c r="BV144" i="1"/>
  <c r="BY143" i="1"/>
  <c r="BX143" i="1"/>
  <c r="BW143" i="1"/>
  <c r="BV143" i="1"/>
  <c r="BY142" i="1"/>
  <c r="BX142" i="1"/>
  <c r="BW142" i="1"/>
  <c r="BV142" i="1"/>
  <c r="BY141" i="1"/>
  <c r="BX141" i="1"/>
  <c r="BW141" i="1"/>
  <c r="BV141" i="1"/>
  <c r="BY140" i="1"/>
  <c r="BX140" i="1"/>
  <c r="BW140" i="1"/>
  <c r="BV140" i="1"/>
  <c r="BY139" i="1"/>
  <c r="BX139" i="1"/>
  <c r="BW139" i="1"/>
  <c r="BV139" i="1"/>
  <c r="BY138" i="1"/>
  <c r="BX138" i="1"/>
  <c r="BW138" i="1"/>
  <c r="BV138" i="1"/>
  <c r="BY137" i="1"/>
  <c r="BX137" i="1"/>
  <c r="BW137" i="1"/>
  <c r="BV137" i="1"/>
  <c r="BY136" i="1"/>
  <c r="BX136" i="1"/>
  <c r="BW136" i="1"/>
  <c r="BV136" i="1"/>
  <c r="BY135" i="1"/>
  <c r="BX135" i="1"/>
  <c r="BW135" i="1"/>
  <c r="BV135" i="1"/>
  <c r="BY134" i="1"/>
  <c r="BX134" i="1"/>
  <c r="BW134" i="1"/>
  <c r="BV134" i="1"/>
  <c r="BY133" i="1"/>
  <c r="BX133" i="1"/>
  <c r="BW133" i="1"/>
  <c r="BV133" i="1"/>
  <c r="BY132" i="1"/>
  <c r="BX132" i="1"/>
  <c r="BW132" i="1"/>
  <c r="BV132" i="1"/>
  <c r="BY131" i="1"/>
  <c r="BX131" i="1"/>
  <c r="BW131" i="1"/>
  <c r="BV131" i="1"/>
  <c r="BY130" i="1"/>
  <c r="BX130" i="1"/>
  <c r="BW130" i="1"/>
  <c r="BV130" i="1"/>
  <c r="BY129" i="1"/>
  <c r="BX129" i="1"/>
  <c r="BW129" i="1"/>
  <c r="BV129" i="1"/>
  <c r="BY128" i="1"/>
  <c r="BX128" i="1"/>
  <c r="BW128" i="1"/>
  <c r="BV128" i="1"/>
  <c r="BY127" i="1"/>
  <c r="BX127" i="1"/>
  <c r="BW127" i="1"/>
  <c r="BV127" i="1"/>
  <c r="BY126" i="1"/>
  <c r="BX126" i="1"/>
  <c r="BW126" i="1"/>
  <c r="BV126" i="1"/>
  <c r="BY125" i="1"/>
  <c r="BX125" i="1"/>
  <c r="BW125" i="1"/>
  <c r="BV125" i="1"/>
  <c r="BY124" i="1"/>
  <c r="BX124" i="1"/>
  <c r="BW124" i="1"/>
  <c r="BV124" i="1"/>
  <c r="BY123" i="1"/>
  <c r="BX123" i="1"/>
  <c r="BW123" i="1"/>
  <c r="BV123" i="1"/>
  <c r="BY122" i="1"/>
  <c r="BX122" i="1"/>
  <c r="BW122" i="1"/>
  <c r="BV122" i="1"/>
  <c r="BY121" i="1"/>
  <c r="BX121" i="1"/>
  <c r="BW121" i="1"/>
  <c r="BV121" i="1"/>
  <c r="BY120" i="1"/>
  <c r="BX120" i="1"/>
  <c r="BW120" i="1"/>
  <c r="BV120" i="1"/>
  <c r="BY119" i="1"/>
  <c r="BX119" i="1"/>
  <c r="BW119" i="1"/>
  <c r="BV119" i="1"/>
  <c r="BY118" i="1"/>
  <c r="BX118" i="1"/>
  <c r="BW118" i="1"/>
  <c r="BV118" i="1"/>
  <c r="BY117" i="1"/>
  <c r="BX117" i="1"/>
  <c r="BW117" i="1"/>
  <c r="BV117" i="1"/>
  <c r="BY116" i="1"/>
  <c r="BX116" i="1"/>
  <c r="BW116" i="1"/>
  <c r="BV116" i="1"/>
  <c r="BY115" i="1"/>
  <c r="BX115" i="1"/>
  <c r="BW115" i="1"/>
  <c r="BV115" i="1"/>
  <c r="BY114" i="1"/>
  <c r="BX114" i="1"/>
  <c r="BW114" i="1"/>
  <c r="BV114" i="1"/>
  <c r="BY113" i="1"/>
  <c r="BX113" i="1"/>
  <c r="BW113" i="1"/>
  <c r="BV113" i="1"/>
  <c r="BY112" i="1"/>
  <c r="BX112" i="1"/>
  <c r="BW112" i="1"/>
  <c r="BV112" i="1"/>
  <c r="BY111" i="1"/>
  <c r="BX111" i="1"/>
  <c r="BW111" i="1"/>
  <c r="BV111" i="1"/>
  <c r="BY110" i="1"/>
  <c r="BX110" i="1"/>
  <c r="BW110" i="1"/>
  <c r="BV110" i="1"/>
  <c r="BY109" i="1"/>
  <c r="BX109" i="1"/>
  <c r="BW109" i="1"/>
  <c r="BV109" i="1"/>
  <c r="BY108" i="1"/>
  <c r="BX108" i="1"/>
  <c r="BW108" i="1"/>
  <c r="BV108" i="1"/>
  <c r="BY107" i="1"/>
  <c r="BX107" i="1"/>
  <c r="BW107" i="1"/>
  <c r="BV107" i="1"/>
  <c r="BY106" i="1"/>
  <c r="BX106" i="1"/>
  <c r="BW106" i="1"/>
  <c r="BV106" i="1"/>
  <c r="BY105" i="1"/>
  <c r="BX105" i="1"/>
  <c r="BW105" i="1"/>
  <c r="BV105" i="1"/>
  <c r="BY104" i="1"/>
  <c r="BX104" i="1"/>
  <c r="BW104" i="1"/>
  <c r="BV104" i="1"/>
  <c r="BY103" i="1"/>
  <c r="BX103" i="1"/>
  <c r="BW103" i="1"/>
  <c r="BV103" i="1"/>
  <c r="BY102" i="1"/>
  <c r="BX102" i="1"/>
  <c r="BW102" i="1"/>
  <c r="BV102" i="1"/>
  <c r="BY101" i="1"/>
  <c r="BX101" i="1"/>
  <c r="BW101" i="1"/>
  <c r="BV101" i="1"/>
  <c r="BY100" i="1"/>
  <c r="BX100" i="1"/>
  <c r="BW100" i="1"/>
  <c r="BV100" i="1"/>
  <c r="BY99" i="1"/>
  <c r="BX99" i="1"/>
  <c r="BW99" i="1"/>
  <c r="BV99" i="1"/>
  <c r="BY98" i="1"/>
  <c r="BX98" i="1"/>
  <c r="BW98" i="1"/>
  <c r="BV98" i="1"/>
  <c r="BY97" i="1"/>
  <c r="BX97" i="1"/>
  <c r="BW97" i="1"/>
  <c r="BV97" i="1"/>
  <c r="BY96" i="1"/>
  <c r="BX96" i="1"/>
  <c r="BW96" i="1"/>
  <c r="BV96" i="1"/>
  <c r="BY95" i="1"/>
  <c r="BX95" i="1"/>
  <c r="BW95" i="1"/>
  <c r="BV95" i="1"/>
  <c r="BY94" i="1"/>
  <c r="BX94" i="1"/>
  <c r="BW94" i="1"/>
  <c r="BV94" i="1"/>
  <c r="BY93" i="1"/>
  <c r="BX93" i="1"/>
  <c r="BW93" i="1"/>
  <c r="BV93" i="1"/>
  <c r="BY92" i="1"/>
  <c r="BX92" i="1"/>
  <c r="BW92" i="1"/>
  <c r="BV92" i="1"/>
  <c r="BY91" i="1"/>
  <c r="BX91" i="1"/>
  <c r="BW91" i="1"/>
  <c r="BV91" i="1"/>
  <c r="BY90" i="1"/>
  <c r="BX90" i="1"/>
  <c r="BW90" i="1"/>
  <c r="BV90" i="1"/>
  <c r="BY89" i="1"/>
  <c r="BX89" i="1"/>
  <c r="BW89" i="1"/>
  <c r="BV89" i="1"/>
  <c r="BY88" i="1"/>
  <c r="BX88" i="1"/>
  <c r="BW88" i="1"/>
  <c r="BV88" i="1"/>
  <c r="BY87" i="1"/>
  <c r="BX87" i="1"/>
  <c r="BW87" i="1"/>
  <c r="BV87" i="1"/>
  <c r="BY86" i="1"/>
  <c r="BX86" i="1"/>
  <c r="BW86" i="1"/>
  <c r="BV86" i="1"/>
  <c r="BY85" i="1"/>
  <c r="BX85" i="1"/>
  <c r="BW85" i="1"/>
  <c r="BV85" i="1"/>
  <c r="BY84" i="1"/>
  <c r="BX84" i="1"/>
  <c r="BW84" i="1"/>
  <c r="BV84" i="1"/>
  <c r="BY83" i="1"/>
  <c r="BX83" i="1"/>
  <c r="BW83" i="1"/>
  <c r="BV83" i="1"/>
  <c r="BY82" i="1"/>
  <c r="BX82" i="1"/>
  <c r="BW82" i="1"/>
  <c r="BV82" i="1"/>
  <c r="BY81" i="1"/>
  <c r="BX81" i="1"/>
  <c r="BW81" i="1"/>
  <c r="BV81" i="1"/>
  <c r="BY80" i="1"/>
  <c r="BX80" i="1"/>
  <c r="BW80" i="1"/>
  <c r="BV80" i="1"/>
  <c r="BY79" i="1"/>
  <c r="BX79" i="1"/>
  <c r="BW79" i="1"/>
  <c r="BV79" i="1"/>
  <c r="BY78" i="1"/>
  <c r="BX78" i="1"/>
  <c r="BW78" i="1"/>
  <c r="BV78" i="1"/>
  <c r="BY77" i="1"/>
  <c r="BX77" i="1"/>
  <c r="BW77" i="1"/>
  <c r="BV77" i="1"/>
  <c r="BY76" i="1"/>
  <c r="BX76" i="1"/>
  <c r="BW76" i="1"/>
  <c r="BV76" i="1"/>
  <c r="BY75" i="1"/>
  <c r="BX75" i="1"/>
  <c r="BW75" i="1"/>
  <c r="BV75" i="1"/>
  <c r="BY74" i="1"/>
  <c r="BX74" i="1"/>
  <c r="BW74" i="1"/>
  <c r="BV74" i="1"/>
  <c r="BY73" i="1"/>
  <c r="BX73" i="1"/>
  <c r="BW73" i="1"/>
  <c r="BV73" i="1"/>
  <c r="BY72" i="1"/>
  <c r="BX72" i="1"/>
  <c r="BW72" i="1"/>
  <c r="BV72" i="1"/>
  <c r="BY71" i="1"/>
  <c r="BX71" i="1"/>
  <c r="BW71" i="1"/>
  <c r="BV71" i="1"/>
  <c r="BY70" i="1"/>
  <c r="BX70" i="1"/>
  <c r="BW70" i="1"/>
  <c r="BV70" i="1"/>
  <c r="BY69" i="1"/>
  <c r="BX69" i="1"/>
  <c r="BW69" i="1"/>
  <c r="BV69" i="1"/>
  <c r="BY68" i="1"/>
  <c r="BX68" i="1"/>
  <c r="BW68" i="1"/>
  <c r="BV68" i="1"/>
  <c r="BY67" i="1"/>
  <c r="BX67" i="1"/>
  <c r="BW67" i="1"/>
  <c r="BV67" i="1"/>
  <c r="BY66" i="1"/>
  <c r="BX66" i="1"/>
  <c r="BW66" i="1"/>
  <c r="BV66" i="1"/>
  <c r="BY65" i="1"/>
  <c r="BX65" i="1"/>
  <c r="BW65" i="1"/>
  <c r="BV65" i="1"/>
  <c r="BY64" i="1"/>
  <c r="BX64" i="1"/>
  <c r="BW64" i="1"/>
  <c r="BV64" i="1"/>
  <c r="BY63" i="1"/>
  <c r="BX63" i="1"/>
  <c r="BW63" i="1"/>
  <c r="BV63" i="1"/>
  <c r="BY62" i="1"/>
  <c r="BX62" i="1"/>
  <c r="BW62" i="1"/>
  <c r="BV62" i="1"/>
  <c r="BY61" i="1"/>
  <c r="BX61" i="1"/>
  <c r="BW61" i="1"/>
  <c r="BV61" i="1"/>
  <c r="BY60" i="1"/>
  <c r="BX60" i="1"/>
  <c r="BW60" i="1"/>
  <c r="BV60" i="1"/>
  <c r="BY59" i="1"/>
  <c r="BX59" i="1"/>
  <c r="BW59" i="1"/>
  <c r="BV59" i="1"/>
  <c r="BY58" i="1"/>
  <c r="BX58" i="1"/>
  <c r="BW58" i="1"/>
  <c r="BV58" i="1"/>
  <c r="BY57" i="1"/>
  <c r="BX57" i="1"/>
  <c r="BW57" i="1"/>
  <c r="BV57" i="1"/>
  <c r="BY56" i="1"/>
  <c r="BX56" i="1"/>
  <c r="BW56" i="1"/>
  <c r="BV56" i="1"/>
  <c r="BY55" i="1"/>
  <c r="BX55" i="1"/>
  <c r="BW55" i="1"/>
  <c r="BV55" i="1"/>
  <c r="BY54" i="1"/>
  <c r="BX54" i="1"/>
  <c r="BW54" i="1"/>
  <c r="BV54" i="1"/>
  <c r="BY53" i="1"/>
  <c r="BX53" i="1"/>
  <c r="BW53" i="1"/>
  <c r="BV53" i="1"/>
  <c r="BY52" i="1"/>
  <c r="BX52" i="1"/>
  <c r="BW52" i="1"/>
  <c r="BV52" i="1"/>
  <c r="BY51" i="1"/>
  <c r="BX51" i="1"/>
  <c r="BW51" i="1"/>
  <c r="BV51" i="1"/>
  <c r="BY50" i="1"/>
  <c r="BX50" i="1"/>
  <c r="BW50" i="1"/>
  <c r="BV50" i="1"/>
  <c r="BY49" i="1"/>
  <c r="BX49" i="1"/>
  <c r="BW49" i="1"/>
  <c r="BV49" i="1"/>
  <c r="BY48" i="1"/>
  <c r="BX48" i="1"/>
  <c r="BW48" i="1"/>
  <c r="BV48" i="1"/>
  <c r="BY47" i="1"/>
  <c r="BX47" i="1"/>
  <c r="BW47" i="1"/>
  <c r="BV47" i="1"/>
  <c r="BY46" i="1"/>
  <c r="BX46" i="1"/>
  <c r="BW46" i="1"/>
  <c r="BV46" i="1"/>
  <c r="BY45" i="1"/>
  <c r="BX45" i="1"/>
  <c r="BW45" i="1"/>
  <c r="BV45" i="1"/>
  <c r="BY44" i="1"/>
  <c r="BX44" i="1"/>
  <c r="BW44" i="1"/>
  <c r="BV44" i="1"/>
  <c r="BY43" i="1"/>
  <c r="BX43" i="1"/>
  <c r="BW43" i="1"/>
  <c r="BV43" i="1"/>
  <c r="BY42" i="1"/>
  <c r="BX42" i="1"/>
  <c r="BW42" i="1"/>
  <c r="BV42" i="1"/>
  <c r="BY41" i="1"/>
  <c r="BX41" i="1"/>
  <c r="BW41" i="1"/>
  <c r="BV41" i="1"/>
  <c r="BY40" i="1"/>
  <c r="BX40" i="1"/>
  <c r="BW40" i="1"/>
  <c r="BV40" i="1"/>
  <c r="BY39" i="1"/>
  <c r="BX39" i="1"/>
  <c r="BW39" i="1"/>
  <c r="BV39" i="1"/>
  <c r="BY38" i="1"/>
  <c r="BX38" i="1"/>
  <c r="BW38" i="1"/>
  <c r="BV38" i="1"/>
  <c r="BY37" i="1"/>
  <c r="BX37" i="1"/>
  <c r="BW37" i="1"/>
  <c r="BV37" i="1"/>
  <c r="BY36" i="1"/>
  <c r="BX36" i="1"/>
  <c r="BW36" i="1"/>
  <c r="BV36" i="1"/>
  <c r="BY35" i="1"/>
  <c r="BX35" i="1"/>
  <c r="BW35" i="1"/>
  <c r="BV35" i="1"/>
  <c r="BY34" i="1"/>
  <c r="BX34" i="1"/>
  <c r="BW34" i="1"/>
  <c r="BV34" i="1"/>
  <c r="BY33" i="1"/>
  <c r="BX33" i="1"/>
  <c r="BW33" i="1"/>
  <c r="BV33" i="1"/>
  <c r="BY32" i="1"/>
  <c r="BX32" i="1"/>
  <c r="BW32" i="1"/>
  <c r="BV32" i="1"/>
  <c r="BY31" i="1"/>
  <c r="BX31" i="1"/>
  <c r="BW31" i="1"/>
  <c r="BV31" i="1"/>
  <c r="BY30" i="1"/>
  <c r="BX30" i="1"/>
  <c r="BW30" i="1"/>
  <c r="BV30" i="1"/>
  <c r="BY29" i="1"/>
  <c r="BX29" i="1"/>
  <c r="BW29" i="1"/>
  <c r="BV29" i="1"/>
  <c r="BY28" i="1"/>
  <c r="BX28" i="1"/>
  <c r="BW28" i="1"/>
  <c r="BV28" i="1"/>
  <c r="BY27" i="1"/>
  <c r="BX27" i="1"/>
  <c r="BW27" i="1"/>
  <c r="BV27" i="1"/>
  <c r="BY26" i="1"/>
  <c r="BX26" i="1"/>
  <c r="BW26" i="1"/>
  <c r="BV26" i="1"/>
  <c r="BY25" i="1"/>
  <c r="BX25" i="1"/>
  <c r="BW25" i="1"/>
  <c r="BV25" i="1"/>
  <c r="BY24" i="1"/>
  <c r="BX24" i="1"/>
  <c r="BW24" i="1"/>
  <c r="BV24" i="1"/>
  <c r="BY23" i="1"/>
  <c r="BX23" i="1"/>
  <c r="BW23" i="1"/>
  <c r="BV23" i="1"/>
  <c r="BY22" i="1"/>
  <c r="BX22" i="1"/>
  <c r="BW22" i="1"/>
  <c r="BV22" i="1"/>
  <c r="BY21" i="1"/>
  <c r="BX21" i="1"/>
  <c r="BW21" i="1"/>
  <c r="BV21" i="1"/>
  <c r="BY20" i="1"/>
  <c r="BX20" i="1"/>
  <c r="BW20" i="1"/>
  <c r="BV20" i="1"/>
  <c r="BY19" i="1"/>
  <c r="BX19" i="1"/>
  <c r="BW19" i="1"/>
  <c r="BV19" i="1"/>
  <c r="BY18" i="1"/>
  <c r="BX18" i="1"/>
  <c r="BW18" i="1"/>
  <c r="BV18" i="1"/>
  <c r="BY17" i="1"/>
  <c r="BX17" i="1"/>
  <c r="BW17" i="1"/>
  <c r="BV17" i="1"/>
  <c r="BY16" i="1"/>
  <c r="BX16" i="1"/>
  <c r="BW16" i="1"/>
  <c r="BV16" i="1"/>
  <c r="BY15" i="1"/>
  <c r="BX15" i="1"/>
  <c r="BW15" i="1"/>
  <c r="BV15" i="1"/>
  <c r="BY14" i="1"/>
  <c r="BX14" i="1"/>
  <c r="BW14" i="1"/>
  <c r="BV14" i="1"/>
  <c r="BY13" i="1"/>
  <c r="BX13" i="1"/>
  <c r="BW13" i="1"/>
  <c r="BV13" i="1"/>
  <c r="BY12" i="1"/>
  <c r="BX12" i="1"/>
  <c r="BW12" i="1"/>
  <c r="BV12" i="1"/>
  <c r="BY11" i="1"/>
  <c r="BX11" i="1"/>
  <c r="BW11" i="1"/>
  <c r="BV11" i="1"/>
  <c r="BY10" i="1"/>
  <c r="BX10" i="1"/>
  <c r="BW10" i="1"/>
  <c r="BV10" i="1"/>
  <c r="BY9" i="1"/>
  <c r="BX9" i="1"/>
  <c r="BW9" i="1"/>
  <c r="BV9" i="1"/>
  <c r="BY8" i="1"/>
  <c r="BX8" i="1"/>
  <c r="BW8" i="1"/>
  <c r="BV8" i="1"/>
  <c r="BY7" i="1"/>
  <c r="BX7" i="1"/>
  <c r="BW7" i="1"/>
  <c r="BV7" i="1"/>
  <c r="BY6" i="1"/>
  <c r="BX6" i="1"/>
  <c r="BW6" i="1"/>
  <c r="BV6" i="1"/>
  <c r="BY5" i="1"/>
  <c r="BX5" i="1"/>
  <c r="BW5" i="1"/>
  <c r="BV5" i="1"/>
  <c r="BY4" i="1"/>
  <c r="BX4" i="1"/>
  <c r="BW4" i="1"/>
  <c r="BV4" i="1"/>
  <c r="BY3" i="1"/>
  <c r="BX3" i="1"/>
  <c r="BW3" i="1"/>
  <c r="BV3" i="1"/>
  <c r="BY2" i="1"/>
  <c r="BX2" i="1"/>
  <c r="BW2" i="1"/>
  <c r="BV2" i="1"/>
  <c r="AU297" i="1" l="1"/>
  <c r="AU296" i="1"/>
  <c r="AU295" i="1"/>
  <c r="AU294" i="1"/>
  <c r="AU293" i="1"/>
  <c r="AU292" i="1"/>
  <c r="AU291" i="1"/>
  <c r="AU290" i="1"/>
  <c r="AU289" i="1"/>
  <c r="AU288" i="1"/>
  <c r="AU287" i="1"/>
  <c r="AU286" i="1"/>
  <c r="AU285" i="1"/>
  <c r="AU284" i="1"/>
  <c r="AU283" i="1"/>
  <c r="AU282" i="1"/>
  <c r="AU281" i="1"/>
  <c r="AU280" i="1"/>
  <c r="AU279" i="1"/>
  <c r="AU278" i="1"/>
  <c r="AU277" i="1"/>
  <c r="AU276" i="1"/>
  <c r="AU275" i="1"/>
  <c r="AU274" i="1"/>
  <c r="AU273" i="1"/>
  <c r="AU272" i="1"/>
  <c r="AU271" i="1"/>
  <c r="AU270" i="1"/>
  <c r="AU269" i="1"/>
  <c r="AU268" i="1"/>
  <c r="AU267" i="1"/>
  <c r="AU266" i="1"/>
  <c r="AU265" i="1"/>
  <c r="AU264" i="1"/>
  <c r="AU263" i="1"/>
  <c r="AU262" i="1"/>
  <c r="AU261" i="1"/>
  <c r="AU260" i="1"/>
  <c r="AU259" i="1"/>
  <c r="AU258" i="1"/>
  <c r="AU257" i="1"/>
  <c r="AU256" i="1"/>
  <c r="AU255" i="1"/>
  <c r="AU254" i="1"/>
  <c r="AU253" i="1"/>
  <c r="AU252" i="1"/>
  <c r="AU251" i="1"/>
  <c r="AU250" i="1"/>
  <c r="AU249" i="1"/>
  <c r="AU248" i="1"/>
  <c r="AU247" i="1"/>
  <c r="AU246" i="1"/>
  <c r="AU245" i="1"/>
  <c r="AU244" i="1"/>
  <c r="AU243" i="1"/>
  <c r="AU242" i="1"/>
  <c r="AU241" i="1"/>
  <c r="AU240" i="1"/>
  <c r="AU239" i="1"/>
  <c r="AU238" i="1"/>
  <c r="AU237" i="1"/>
  <c r="AU236" i="1"/>
  <c r="AU235" i="1"/>
  <c r="AU234" i="1"/>
  <c r="AU233" i="1"/>
  <c r="AU232" i="1"/>
  <c r="AU231" i="1"/>
  <c r="AU230" i="1"/>
  <c r="AU229" i="1"/>
  <c r="AU228" i="1"/>
  <c r="AU227" i="1"/>
  <c r="AU226" i="1"/>
  <c r="AU225" i="1"/>
  <c r="AU224" i="1"/>
  <c r="AU223" i="1"/>
  <c r="AU222" i="1"/>
  <c r="AU221" i="1"/>
  <c r="AU220" i="1"/>
  <c r="AU219" i="1"/>
  <c r="AU218" i="1"/>
  <c r="AU217" i="1"/>
  <c r="AU216" i="1"/>
  <c r="AU215" i="1"/>
  <c r="AU214" i="1"/>
  <c r="AU213" i="1"/>
  <c r="AU212" i="1"/>
  <c r="AU211" i="1"/>
  <c r="AU210" i="1"/>
  <c r="AU209" i="1"/>
  <c r="AU208" i="1"/>
  <c r="AU207" i="1"/>
  <c r="AU206" i="1"/>
  <c r="AU205" i="1"/>
  <c r="AU204" i="1"/>
  <c r="AU203" i="1"/>
  <c r="AU202" i="1"/>
  <c r="AU201" i="1"/>
  <c r="AU200" i="1"/>
  <c r="AU199" i="1"/>
  <c r="AU198" i="1"/>
  <c r="AU197" i="1"/>
  <c r="AU196" i="1"/>
  <c r="AU195" i="1"/>
  <c r="AU194" i="1"/>
  <c r="AU193" i="1"/>
  <c r="AU192" i="1"/>
  <c r="AU191" i="1"/>
  <c r="AU190" i="1"/>
  <c r="AU189" i="1"/>
  <c r="AU188" i="1"/>
  <c r="AU187" i="1"/>
  <c r="AU186" i="1"/>
  <c r="AU185" i="1"/>
  <c r="AU184" i="1"/>
  <c r="AU183" i="1"/>
  <c r="AU182" i="1"/>
  <c r="AU181" i="1"/>
  <c r="AU180" i="1"/>
  <c r="AU179" i="1"/>
  <c r="AU178" i="1"/>
  <c r="AU177" i="1"/>
  <c r="AU176" i="1"/>
  <c r="AU175" i="1"/>
  <c r="AU174" i="1"/>
  <c r="AU173" i="1"/>
  <c r="AU172" i="1"/>
  <c r="AU171" i="1"/>
  <c r="AU170" i="1"/>
  <c r="AU169" i="1"/>
  <c r="AU168" i="1"/>
  <c r="AU167" i="1"/>
  <c r="AU166" i="1"/>
  <c r="AU165" i="1"/>
  <c r="AU164" i="1"/>
  <c r="AU163" i="1"/>
  <c r="AU162" i="1"/>
  <c r="AU161" i="1"/>
  <c r="AU160" i="1"/>
  <c r="AU159" i="1"/>
  <c r="AU158" i="1"/>
  <c r="AU157" i="1"/>
  <c r="AU156" i="1"/>
  <c r="AU155" i="1"/>
  <c r="AU154" i="1"/>
  <c r="AU153" i="1"/>
  <c r="AU152" i="1"/>
  <c r="AU151" i="1"/>
  <c r="AU150" i="1"/>
  <c r="AU149" i="1"/>
  <c r="AU148" i="1"/>
  <c r="AU147" i="1"/>
  <c r="AU146" i="1"/>
  <c r="AU145" i="1"/>
  <c r="AU144" i="1"/>
  <c r="AU143" i="1"/>
  <c r="AU142" i="1"/>
  <c r="AU141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U122" i="1"/>
  <c r="AU121" i="1"/>
  <c r="AU120" i="1"/>
  <c r="AU119" i="1"/>
  <c r="AU118" i="1"/>
  <c r="AU117" i="1"/>
  <c r="AU116" i="1"/>
  <c r="AU115" i="1"/>
  <c r="AU114" i="1"/>
  <c r="AU113" i="1"/>
  <c r="AU112" i="1"/>
  <c r="AU111" i="1"/>
  <c r="AU110" i="1"/>
  <c r="AU109" i="1"/>
  <c r="AU108" i="1"/>
  <c r="AU107" i="1"/>
  <c r="AU106" i="1"/>
  <c r="AU105" i="1"/>
  <c r="AU104" i="1"/>
  <c r="AU103" i="1"/>
  <c r="AU102" i="1"/>
  <c r="AU101" i="1"/>
  <c r="AU100" i="1"/>
  <c r="AU99" i="1"/>
  <c r="AU98" i="1"/>
  <c r="AU97" i="1"/>
  <c r="AU96" i="1"/>
  <c r="AU95" i="1"/>
  <c r="AU94" i="1"/>
  <c r="AU93" i="1"/>
  <c r="AU92" i="1"/>
  <c r="AU91" i="1"/>
  <c r="AU90" i="1"/>
  <c r="AU89" i="1"/>
  <c r="AU88" i="1"/>
  <c r="AU87" i="1"/>
  <c r="AU86" i="1"/>
  <c r="AU85" i="1"/>
  <c r="AU84" i="1"/>
  <c r="AU83" i="1"/>
  <c r="AU82" i="1"/>
  <c r="AU81" i="1"/>
  <c r="AU80" i="1"/>
  <c r="AU79" i="1"/>
  <c r="AU78" i="1"/>
  <c r="AU77" i="1"/>
  <c r="AU76" i="1"/>
  <c r="AU75" i="1"/>
  <c r="AU74" i="1"/>
  <c r="AU73" i="1"/>
  <c r="AU72" i="1"/>
  <c r="AU71" i="1"/>
  <c r="AU70" i="1"/>
  <c r="AU69" i="1"/>
  <c r="AU68" i="1"/>
  <c r="AU67" i="1"/>
  <c r="AU66" i="1"/>
  <c r="AU65" i="1"/>
  <c r="AU64" i="1"/>
  <c r="AU63" i="1"/>
  <c r="AU62" i="1"/>
  <c r="AU61" i="1"/>
  <c r="AU60" i="1"/>
  <c r="AU59" i="1"/>
  <c r="AU58" i="1"/>
  <c r="AU57" i="1"/>
  <c r="AU56" i="1"/>
  <c r="AU55" i="1"/>
  <c r="AU54" i="1"/>
  <c r="AU53" i="1"/>
  <c r="AU52" i="1"/>
  <c r="AU51" i="1"/>
  <c r="AU50" i="1"/>
  <c r="AU49" i="1"/>
  <c r="AU48" i="1"/>
  <c r="AU47" i="1"/>
  <c r="AU46" i="1"/>
  <c r="AU45" i="1"/>
  <c r="AU44" i="1"/>
  <c r="AU43" i="1"/>
  <c r="AU42" i="1"/>
  <c r="AU41" i="1"/>
  <c r="AU40" i="1"/>
  <c r="AU39" i="1"/>
  <c r="AU38" i="1"/>
  <c r="AU37" i="1"/>
  <c r="AU36" i="1"/>
  <c r="AU35" i="1"/>
  <c r="AU34" i="1"/>
  <c r="AU33" i="1"/>
  <c r="AU32" i="1"/>
  <c r="AU31" i="1"/>
  <c r="AU30" i="1"/>
  <c r="AU29" i="1"/>
  <c r="AU28" i="1"/>
  <c r="AU27" i="1"/>
  <c r="AU26" i="1"/>
  <c r="AU25" i="1"/>
  <c r="AU24" i="1"/>
  <c r="AU23" i="1"/>
  <c r="AU22" i="1"/>
  <c r="AU21" i="1"/>
  <c r="AU20" i="1"/>
  <c r="AU19" i="1"/>
  <c r="AU18" i="1"/>
  <c r="AU17" i="1"/>
  <c r="AU16" i="1"/>
  <c r="AU15" i="1"/>
  <c r="AU14" i="1"/>
  <c r="AU13" i="1"/>
  <c r="AU12" i="1"/>
  <c r="AU11" i="1"/>
  <c r="AU10" i="1"/>
  <c r="AU9" i="1"/>
  <c r="AU8" i="1"/>
  <c r="AU7" i="1"/>
  <c r="AU6" i="1"/>
  <c r="AU5" i="1"/>
  <c r="AU4" i="1"/>
  <c r="AU3" i="1"/>
  <c r="AU2" i="1"/>
  <c r="X167" i="1"/>
  <c r="X166" i="1"/>
  <c r="X165" i="1"/>
  <c r="X153" i="1"/>
  <c r="X152" i="1"/>
  <c r="X151" i="1"/>
  <c r="X146" i="1"/>
  <c r="X145" i="1"/>
  <c r="X144" i="1"/>
  <c r="X143" i="1"/>
  <c r="X142" i="1"/>
  <c r="X141" i="1"/>
  <c r="X140" i="1"/>
  <c r="X139" i="1"/>
  <c r="X2" i="1"/>
  <c r="W105" i="1" l="1"/>
  <c r="AA105" i="1" s="1"/>
  <c r="AB105" i="1" s="1"/>
  <c r="W104" i="1"/>
  <c r="W103" i="1"/>
  <c r="AA103" i="1" s="1"/>
  <c r="AB103" i="1" s="1"/>
  <c r="W102" i="1"/>
  <c r="W101" i="1"/>
  <c r="AA101" i="1" s="1"/>
  <c r="AB101" i="1" s="1"/>
  <c r="W100" i="1"/>
  <c r="W99" i="1"/>
  <c r="AA99" i="1" s="1"/>
  <c r="AB99" i="1" s="1"/>
  <c r="W98" i="1"/>
  <c r="W97" i="1"/>
  <c r="AA97" i="1" s="1"/>
  <c r="AB97" i="1" s="1"/>
  <c r="W96" i="1"/>
  <c r="W95" i="1"/>
  <c r="AA95" i="1" s="1"/>
  <c r="AB95" i="1" s="1"/>
  <c r="W94" i="1"/>
  <c r="W93" i="1"/>
  <c r="AA93" i="1" s="1"/>
  <c r="AB93" i="1" s="1"/>
  <c r="W92" i="1"/>
  <c r="W81" i="1"/>
  <c r="W80" i="1"/>
  <c r="W79" i="1"/>
  <c r="AA79" i="1" s="1"/>
  <c r="AB79" i="1" s="1"/>
  <c r="W78" i="1"/>
  <c r="W77" i="1"/>
  <c r="AA77" i="1" s="1"/>
  <c r="W76" i="1"/>
  <c r="W75" i="1"/>
  <c r="AA75" i="1" s="1"/>
  <c r="W74" i="1"/>
  <c r="W73" i="1"/>
  <c r="AA73" i="1" s="1"/>
  <c r="W72" i="1"/>
  <c r="W71" i="1"/>
  <c r="AA71" i="1" s="1"/>
  <c r="AA81" i="1"/>
  <c r="AB81" i="1" s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Z167" i="1" s="1"/>
  <c r="W166" i="1"/>
  <c r="Z166" i="1" s="1"/>
  <c r="W165" i="1"/>
  <c r="Z165" i="1" s="1"/>
  <c r="W164" i="1"/>
  <c r="W163" i="1"/>
  <c r="W162" i="1"/>
  <c r="W161" i="1"/>
  <c r="W160" i="1"/>
  <c r="W159" i="1"/>
  <c r="W158" i="1"/>
  <c r="W157" i="1"/>
  <c r="W156" i="1"/>
  <c r="W155" i="1"/>
  <c r="W154" i="1"/>
  <c r="W153" i="1"/>
  <c r="Z153" i="1" s="1"/>
  <c r="W152" i="1"/>
  <c r="Z152" i="1" s="1"/>
  <c r="W151" i="1"/>
  <c r="Z151" i="1" s="1"/>
  <c r="W150" i="1"/>
  <c r="W149" i="1"/>
  <c r="W148" i="1"/>
  <c r="W147" i="1"/>
  <c r="W146" i="1"/>
  <c r="Z146" i="1" s="1"/>
  <c r="W145" i="1"/>
  <c r="Z145" i="1" s="1"/>
  <c r="W144" i="1"/>
  <c r="Z144" i="1" s="1"/>
  <c r="W143" i="1"/>
  <c r="Z143" i="1" s="1"/>
  <c r="W142" i="1"/>
  <c r="Z142" i="1" s="1"/>
  <c r="W141" i="1"/>
  <c r="Z141" i="1" s="1"/>
  <c r="W140" i="1"/>
  <c r="Z140" i="1" s="1"/>
  <c r="W139" i="1"/>
  <c r="Z139" i="1" s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91" i="1"/>
  <c r="W90" i="1"/>
  <c r="W89" i="1"/>
  <c r="W88" i="1"/>
  <c r="W87" i="1"/>
  <c r="W86" i="1"/>
  <c r="W85" i="1"/>
  <c r="W84" i="1"/>
  <c r="W83" i="1"/>
  <c r="W82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Z2" i="1" s="1"/>
  <c r="CK87" i="1"/>
  <c r="CJ87" i="1"/>
  <c r="CI87" i="1"/>
  <c r="CK86" i="1"/>
  <c r="CJ86" i="1"/>
  <c r="CI86" i="1"/>
  <c r="CK85" i="1"/>
  <c r="CJ85" i="1"/>
  <c r="CI85" i="1"/>
  <c r="CK84" i="1"/>
  <c r="CJ84" i="1"/>
  <c r="CI84" i="1"/>
  <c r="CK83" i="1"/>
  <c r="CJ83" i="1"/>
  <c r="CI83" i="1"/>
  <c r="CK82" i="1"/>
  <c r="CJ82" i="1"/>
  <c r="CI82" i="1"/>
  <c r="CK81" i="1"/>
  <c r="CJ81" i="1"/>
  <c r="CI81" i="1"/>
  <c r="CK80" i="1"/>
  <c r="CJ80" i="1"/>
  <c r="CI80" i="1"/>
  <c r="CK79" i="1"/>
  <c r="CJ79" i="1"/>
  <c r="CI79" i="1"/>
  <c r="CK78" i="1"/>
  <c r="CJ78" i="1"/>
  <c r="CI78" i="1"/>
  <c r="CK77" i="1"/>
  <c r="CJ77" i="1"/>
  <c r="CI77" i="1"/>
  <c r="CK76" i="1"/>
  <c r="CJ76" i="1"/>
  <c r="CI76" i="1"/>
  <c r="CK75" i="1"/>
  <c r="CJ75" i="1"/>
  <c r="CI75" i="1"/>
  <c r="CK74" i="1"/>
  <c r="CJ74" i="1"/>
  <c r="CI74" i="1"/>
  <c r="CK73" i="1"/>
  <c r="CJ73" i="1"/>
  <c r="CI73" i="1"/>
  <c r="CK72" i="1"/>
  <c r="CJ72" i="1"/>
  <c r="CI72" i="1"/>
  <c r="CK71" i="1"/>
  <c r="CJ71" i="1"/>
  <c r="CI71" i="1"/>
  <c r="CK70" i="1"/>
  <c r="CJ70" i="1"/>
  <c r="CI70" i="1"/>
  <c r="CK69" i="1"/>
  <c r="CJ69" i="1"/>
  <c r="CI69" i="1"/>
  <c r="CK68" i="1"/>
  <c r="CJ68" i="1"/>
  <c r="CI68" i="1"/>
  <c r="CK67" i="1"/>
  <c r="CJ67" i="1"/>
  <c r="CI67" i="1"/>
  <c r="CK66" i="1"/>
  <c r="CJ66" i="1"/>
  <c r="CI66" i="1"/>
  <c r="CK65" i="1"/>
  <c r="CJ65" i="1"/>
  <c r="CI65" i="1"/>
  <c r="CK64" i="1"/>
  <c r="CJ64" i="1"/>
  <c r="CI64" i="1"/>
  <c r="CK63" i="1"/>
  <c r="CJ63" i="1"/>
  <c r="CI63" i="1"/>
  <c r="CK62" i="1"/>
  <c r="CJ62" i="1"/>
  <c r="CI62" i="1"/>
  <c r="CK61" i="1"/>
  <c r="CJ61" i="1"/>
  <c r="CI61" i="1"/>
  <c r="CK60" i="1"/>
  <c r="CJ60" i="1"/>
  <c r="CI60" i="1"/>
  <c r="CK59" i="1"/>
  <c r="CJ59" i="1"/>
  <c r="CI59" i="1"/>
  <c r="CK58" i="1"/>
  <c r="CJ58" i="1"/>
  <c r="CI58" i="1"/>
  <c r="CK57" i="1"/>
  <c r="CJ57" i="1"/>
  <c r="CI57" i="1"/>
  <c r="CK56" i="1"/>
  <c r="CJ56" i="1"/>
  <c r="CI56" i="1"/>
  <c r="CK55" i="1"/>
  <c r="CJ55" i="1"/>
  <c r="CI55" i="1"/>
  <c r="CK54" i="1"/>
  <c r="CJ54" i="1"/>
  <c r="CI54" i="1"/>
  <c r="CK53" i="1"/>
  <c r="CJ53" i="1"/>
  <c r="CI53" i="1"/>
  <c r="CK52" i="1"/>
  <c r="CJ52" i="1"/>
  <c r="CI52" i="1"/>
  <c r="CK51" i="1"/>
  <c r="CJ51" i="1"/>
  <c r="CI51" i="1"/>
  <c r="CK50" i="1"/>
  <c r="CJ50" i="1"/>
  <c r="CI50" i="1"/>
  <c r="CK49" i="1"/>
  <c r="CJ49" i="1"/>
  <c r="CI49" i="1"/>
  <c r="CK48" i="1"/>
  <c r="CJ48" i="1"/>
  <c r="CI48" i="1"/>
  <c r="CK47" i="1"/>
  <c r="CJ47" i="1"/>
  <c r="CI47" i="1"/>
  <c r="CK46" i="1"/>
  <c r="CJ46" i="1"/>
  <c r="CI46" i="1"/>
  <c r="CK45" i="1"/>
  <c r="CJ45" i="1"/>
  <c r="CI45" i="1"/>
  <c r="CK44" i="1"/>
  <c r="CJ44" i="1"/>
  <c r="CI44" i="1"/>
  <c r="CK43" i="1"/>
  <c r="CJ43" i="1"/>
  <c r="CI43" i="1"/>
  <c r="CK42" i="1"/>
  <c r="CJ42" i="1"/>
  <c r="CI42" i="1"/>
  <c r="CK41" i="1"/>
  <c r="CJ41" i="1"/>
  <c r="CI41" i="1"/>
  <c r="CK40" i="1"/>
  <c r="CJ40" i="1"/>
  <c r="CI40" i="1"/>
  <c r="CK39" i="1"/>
  <c r="CJ39" i="1"/>
  <c r="CI39" i="1"/>
  <c r="CK38" i="1"/>
  <c r="CJ38" i="1"/>
  <c r="CI38" i="1"/>
  <c r="CK37" i="1"/>
  <c r="CJ37" i="1"/>
  <c r="CI37" i="1"/>
  <c r="CK36" i="1"/>
  <c r="CJ36" i="1"/>
  <c r="CI36" i="1"/>
  <c r="CK35" i="1"/>
  <c r="CJ35" i="1"/>
  <c r="CI35" i="1"/>
  <c r="CK34" i="1"/>
  <c r="CJ34" i="1"/>
  <c r="CI34" i="1"/>
  <c r="CK33" i="1"/>
  <c r="CJ33" i="1"/>
  <c r="CI33" i="1"/>
  <c r="CK32" i="1"/>
  <c r="CJ32" i="1"/>
  <c r="CI32" i="1"/>
  <c r="CK31" i="1"/>
  <c r="CJ31" i="1"/>
  <c r="CI31" i="1"/>
  <c r="CK30" i="1"/>
  <c r="CJ30" i="1"/>
  <c r="CI30" i="1"/>
  <c r="CK29" i="1"/>
  <c r="CJ29" i="1"/>
  <c r="CI29" i="1"/>
  <c r="CK28" i="1"/>
  <c r="CJ28" i="1"/>
  <c r="CI28" i="1"/>
  <c r="CK27" i="1"/>
  <c r="CJ27" i="1"/>
  <c r="CI27" i="1"/>
  <c r="CK26" i="1"/>
  <c r="CJ26" i="1"/>
  <c r="CI26" i="1"/>
  <c r="CK25" i="1"/>
  <c r="CJ25" i="1"/>
  <c r="CI25" i="1"/>
  <c r="CK24" i="1"/>
  <c r="CJ24" i="1"/>
  <c r="CI24" i="1"/>
  <c r="CK23" i="1"/>
  <c r="CJ23" i="1"/>
  <c r="CI23" i="1"/>
  <c r="CK22" i="1"/>
  <c r="CJ22" i="1"/>
  <c r="CI22" i="1"/>
  <c r="CK21" i="1"/>
  <c r="CJ21" i="1"/>
  <c r="CI21" i="1"/>
  <c r="CK20" i="1"/>
  <c r="CJ20" i="1"/>
  <c r="CI20" i="1"/>
  <c r="CK19" i="1"/>
  <c r="CJ19" i="1"/>
  <c r="CI19" i="1"/>
  <c r="AE297" i="1"/>
  <c r="CK297" i="1" s="1"/>
  <c r="AD297" i="1"/>
  <c r="CJ297" i="1" s="1"/>
  <c r="AE296" i="1"/>
  <c r="CK296" i="1" s="1"/>
  <c r="AD296" i="1"/>
  <c r="CJ296" i="1" s="1"/>
  <c r="AE295" i="1"/>
  <c r="CK295" i="1" s="1"/>
  <c r="AD295" i="1"/>
  <c r="CJ295" i="1" s="1"/>
  <c r="AE294" i="1"/>
  <c r="CK294" i="1" s="1"/>
  <c r="AD294" i="1"/>
  <c r="CJ294" i="1" s="1"/>
  <c r="AE293" i="1"/>
  <c r="CK293" i="1" s="1"/>
  <c r="AD293" i="1"/>
  <c r="CJ293" i="1" s="1"/>
  <c r="AE292" i="1"/>
  <c r="CK292" i="1" s="1"/>
  <c r="AD292" i="1"/>
  <c r="CJ292" i="1" s="1"/>
  <c r="AE291" i="1"/>
  <c r="CK291" i="1" s="1"/>
  <c r="AD291" i="1"/>
  <c r="CJ291" i="1" s="1"/>
  <c r="AE290" i="1"/>
  <c r="CK290" i="1" s="1"/>
  <c r="AD290" i="1"/>
  <c r="CJ290" i="1" s="1"/>
  <c r="AE289" i="1"/>
  <c r="CK289" i="1" s="1"/>
  <c r="AD289" i="1"/>
  <c r="CJ289" i="1" s="1"/>
  <c r="AE288" i="1"/>
  <c r="CK288" i="1" s="1"/>
  <c r="AD288" i="1"/>
  <c r="CJ288" i="1" s="1"/>
  <c r="AE287" i="1"/>
  <c r="CK287" i="1" s="1"/>
  <c r="AD287" i="1"/>
  <c r="CJ287" i="1" s="1"/>
  <c r="AE286" i="1"/>
  <c r="CK286" i="1" s="1"/>
  <c r="AD286" i="1"/>
  <c r="CJ286" i="1" s="1"/>
  <c r="AE285" i="1"/>
  <c r="CK285" i="1" s="1"/>
  <c r="AD285" i="1"/>
  <c r="CJ285" i="1" s="1"/>
  <c r="AE284" i="1"/>
  <c r="CK284" i="1" s="1"/>
  <c r="AD284" i="1"/>
  <c r="CJ284" i="1" s="1"/>
  <c r="AE283" i="1"/>
  <c r="CK283" i="1" s="1"/>
  <c r="AD283" i="1"/>
  <c r="CJ283" i="1" s="1"/>
  <c r="AE282" i="1"/>
  <c r="CK282" i="1" s="1"/>
  <c r="AD282" i="1"/>
  <c r="CJ282" i="1" s="1"/>
  <c r="AE281" i="1"/>
  <c r="CK281" i="1" s="1"/>
  <c r="AD281" i="1"/>
  <c r="CJ281" i="1" s="1"/>
  <c r="AE280" i="1"/>
  <c r="CK280" i="1" s="1"/>
  <c r="AD280" i="1"/>
  <c r="CJ280" i="1" s="1"/>
  <c r="AE279" i="1"/>
  <c r="CK279" i="1" s="1"/>
  <c r="AD279" i="1"/>
  <c r="CJ279" i="1" s="1"/>
  <c r="AE278" i="1"/>
  <c r="CK278" i="1" s="1"/>
  <c r="AD278" i="1"/>
  <c r="CJ278" i="1" s="1"/>
  <c r="AE277" i="1"/>
  <c r="CK277" i="1" s="1"/>
  <c r="AD277" i="1"/>
  <c r="CJ277" i="1" s="1"/>
  <c r="AE276" i="1"/>
  <c r="CK276" i="1" s="1"/>
  <c r="AD276" i="1"/>
  <c r="CJ276" i="1" s="1"/>
  <c r="AE275" i="1"/>
  <c r="CK275" i="1" s="1"/>
  <c r="AD275" i="1"/>
  <c r="CJ275" i="1" s="1"/>
  <c r="AE274" i="1"/>
  <c r="CK274" i="1" s="1"/>
  <c r="AD274" i="1"/>
  <c r="CJ274" i="1" s="1"/>
  <c r="AE273" i="1"/>
  <c r="CK273" i="1" s="1"/>
  <c r="AD273" i="1"/>
  <c r="CJ273" i="1" s="1"/>
  <c r="AE272" i="1"/>
  <c r="CK272" i="1" s="1"/>
  <c r="AD272" i="1"/>
  <c r="CJ272" i="1" s="1"/>
  <c r="AE271" i="1"/>
  <c r="CK271" i="1" s="1"/>
  <c r="AD271" i="1"/>
  <c r="CJ271" i="1" s="1"/>
  <c r="AE270" i="1"/>
  <c r="CK270" i="1" s="1"/>
  <c r="AD270" i="1"/>
  <c r="CJ270" i="1" s="1"/>
  <c r="AE269" i="1"/>
  <c r="CK269" i="1" s="1"/>
  <c r="AD269" i="1"/>
  <c r="CJ269" i="1" s="1"/>
  <c r="AE268" i="1"/>
  <c r="CK268" i="1" s="1"/>
  <c r="AD268" i="1"/>
  <c r="CJ268" i="1" s="1"/>
  <c r="AE267" i="1"/>
  <c r="CK267" i="1" s="1"/>
  <c r="AD267" i="1"/>
  <c r="CJ267" i="1" s="1"/>
  <c r="AE266" i="1"/>
  <c r="CK266" i="1" s="1"/>
  <c r="AD266" i="1"/>
  <c r="CJ266" i="1" s="1"/>
  <c r="AE265" i="1"/>
  <c r="CK265" i="1" s="1"/>
  <c r="AD265" i="1"/>
  <c r="CJ265" i="1" s="1"/>
  <c r="AE264" i="1"/>
  <c r="CK264" i="1" s="1"/>
  <c r="AD264" i="1"/>
  <c r="CJ264" i="1" s="1"/>
  <c r="AE263" i="1"/>
  <c r="CK263" i="1" s="1"/>
  <c r="AD263" i="1"/>
  <c r="CJ263" i="1" s="1"/>
  <c r="AE262" i="1"/>
  <c r="CK262" i="1" s="1"/>
  <c r="AD262" i="1"/>
  <c r="CJ262" i="1" s="1"/>
  <c r="AE261" i="1"/>
  <c r="CK261" i="1" s="1"/>
  <c r="AD261" i="1"/>
  <c r="CJ261" i="1" s="1"/>
  <c r="AE260" i="1"/>
  <c r="CK260" i="1" s="1"/>
  <c r="AD260" i="1"/>
  <c r="CJ260" i="1" s="1"/>
  <c r="AE259" i="1"/>
  <c r="CK259" i="1" s="1"/>
  <c r="AD259" i="1"/>
  <c r="CJ259" i="1" s="1"/>
  <c r="AE258" i="1"/>
  <c r="CK258" i="1" s="1"/>
  <c r="AD258" i="1"/>
  <c r="CJ258" i="1" s="1"/>
  <c r="AE257" i="1"/>
  <c r="CK257" i="1" s="1"/>
  <c r="AD257" i="1"/>
  <c r="CJ257" i="1" s="1"/>
  <c r="AE256" i="1"/>
  <c r="CK256" i="1" s="1"/>
  <c r="AD256" i="1"/>
  <c r="CJ256" i="1" s="1"/>
  <c r="AE255" i="1"/>
  <c r="CK255" i="1" s="1"/>
  <c r="AD255" i="1"/>
  <c r="CJ255" i="1" s="1"/>
  <c r="AE254" i="1"/>
  <c r="CK254" i="1" s="1"/>
  <c r="AD254" i="1"/>
  <c r="CJ254" i="1" s="1"/>
  <c r="AE253" i="1"/>
  <c r="CK253" i="1" s="1"/>
  <c r="AD253" i="1"/>
  <c r="CJ253" i="1" s="1"/>
  <c r="AE252" i="1"/>
  <c r="CK252" i="1" s="1"/>
  <c r="AD252" i="1"/>
  <c r="CJ252" i="1" s="1"/>
  <c r="AE251" i="1"/>
  <c r="CK251" i="1" s="1"/>
  <c r="AD251" i="1"/>
  <c r="CJ251" i="1" s="1"/>
  <c r="AE250" i="1"/>
  <c r="CK250" i="1" s="1"/>
  <c r="AD250" i="1"/>
  <c r="CJ250" i="1" s="1"/>
  <c r="AE249" i="1"/>
  <c r="CK249" i="1" s="1"/>
  <c r="AD249" i="1"/>
  <c r="CJ249" i="1" s="1"/>
  <c r="AE248" i="1"/>
  <c r="CK248" i="1" s="1"/>
  <c r="AD248" i="1"/>
  <c r="CJ248" i="1" s="1"/>
  <c r="AE247" i="1"/>
  <c r="CK247" i="1" s="1"/>
  <c r="AD247" i="1"/>
  <c r="CJ247" i="1" s="1"/>
  <c r="AE246" i="1"/>
  <c r="CK246" i="1" s="1"/>
  <c r="AD246" i="1"/>
  <c r="CJ246" i="1" s="1"/>
  <c r="AE245" i="1"/>
  <c r="CK245" i="1" s="1"/>
  <c r="AD245" i="1"/>
  <c r="CJ245" i="1" s="1"/>
  <c r="AE244" i="1"/>
  <c r="CK244" i="1" s="1"/>
  <c r="AD244" i="1"/>
  <c r="CJ244" i="1" s="1"/>
  <c r="AE243" i="1"/>
  <c r="CK243" i="1" s="1"/>
  <c r="AD243" i="1"/>
  <c r="CJ243" i="1" s="1"/>
  <c r="AE242" i="1"/>
  <c r="CK242" i="1" s="1"/>
  <c r="AD242" i="1"/>
  <c r="CJ242" i="1" s="1"/>
  <c r="AE241" i="1"/>
  <c r="CK241" i="1" s="1"/>
  <c r="AD241" i="1"/>
  <c r="CJ241" i="1" s="1"/>
  <c r="AE240" i="1"/>
  <c r="CK240" i="1" s="1"/>
  <c r="AD240" i="1"/>
  <c r="CJ240" i="1" s="1"/>
  <c r="AE239" i="1"/>
  <c r="CK239" i="1" s="1"/>
  <c r="AD239" i="1"/>
  <c r="CJ239" i="1" s="1"/>
  <c r="AE238" i="1"/>
  <c r="CK238" i="1" s="1"/>
  <c r="AD238" i="1"/>
  <c r="CJ238" i="1" s="1"/>
  <c r="AE237" i="1"/>
  <c r="CK237" i="1" s="1"/>
  <c r="AD237" i="1"/>
  <c r="CJ237" i="1" s="1"/>
  <c r="AE236" i="1"/>
  <c r="CK236" i="1" s="1"/>
  <c r="AD236" i="1"/>
  <c r="CJ236" i="1" s="1"/>
  <c r="AE235" i="1"/>
  <c r="CK235" i="1" s="1"/>
  <c r="AD235" i="1"/>
  <c r="CJ235" i="1" s="1"/>
  <c r="AE234" i="1"/>
  <c r="CK234" i="1" s="1"/>
  <c r="AD234" i="1"/>
  <c r="CJ234" i="1" s="1"/>
  <c r="AE233" i="1"/>
  <c r="CK233" i="1" s="1"/>
  <c r="AD233" i="1"/>
  <c r="CJ233" i="1" s="1"/>
  <c r="AE232" i="1"/>
  <c r="CK232" i="1" s="1"/>
  <c r="AD232" i="1"/>
  <c r="CJ232" i="1" s="1"/>
  <c r="AE231" i="1"/>
  <c r="CK231" i="1" s="1"/>
  <c r="AD231" i="1"/>
  <c r="CJ231" i="1" s="1"/>
  <c r="AE230" i="1"/>
  <c r="CK230" i="1" s="1"/>
  <c r="AD230" i="1"/>
  <c r="CJ230" i="1" s="1"/>
  <c r="AE229" i="1"/>
  <c r="CK229" i="1" s="1"/>
  <c r="AD229" i="1"/>
  <c r="CJ229" i="1" s="1"/>
  <c r="AE228" i="1"/>
  <c r="CK228" i="1" s="1"/>
  <c r="AD228" i="1"/>
  <c r="CJ228" i="1" s="1"/>
  <c r="AE227" i="1"/>
  <c r="CK227" i="1" s="1"/>
  <c r="AD227" i="1"/>
  <c r="CJ227" i="1" s="1"/>
  <c r="AE226" i="1"/>
  <c r="CK226" i="1" s="1"/>
  <c r="AD226" i="1"/>
  <c r="CJ226" i="1" s="1"/>
  <c r="AE225" i="1"/>
  <c r="CK225" i="1" s="1"/>
  <c r="AD225" i="1"/>
  <c r="CJ225" i="1" s="1"/>
  <c r="AE224" i="1"/>
  <c r="CK224" i="1" s="1"/>
  <c r="AD224" i="1"/>
  <c r="CJ224" i="1" s="1"/>
  <c r="AE223" i="1"/>
  <c r="CK223" i="1" s="1"/>
  <c r="AD223" i="1"/>
  <c r="CJ223" i="1" s="1"/>
  <c r="AE222" i="1"/>
  <c r="CK222" i="1" s="1"/>
  <c r="AD222" i="1"/>
  <c r="CJ222" i="1" s="1"/>
  <c r="AE221" i="1"/>
  <c r="CK221" i="1" s="1"/>
  <c r="AD221" i="1"/>
  <c r="CJ221" i="1" s="1"/>
  <c r="AE220" i="1"/>
  <c r="CK220" i="1" s="1"/>
  <c r="AD220" i="1"/>
  <c r="CJ220" i="1" s="1"/>
  <c r="AE219" i="1"/>
  <c r="CK219" i="1" s="1"/>
  <c r="AD219" i="1"/>
  <c r="CJ219" i="1" s="1"/>
  <c r="AE218" i="1"/>
  <c r="CK218" i="1" s="1"/>
  <c r="AD218" i="1"/>
  <c r="CJ218" i="1" s="1"/>
  <c r="AE217" i="1"/>
  <c r="CK217" i="1" s="1"/>
  <c r="AD217" i="1"/>
  <c r="CJ217" i="1" s="1"/>
  <c r="AE216" i="1"/>
  <c r="CK216" i="1" s="1"/>
  <c r="AD216" i="1"/>
  <c r="CJ216" i="1" s="1"/>
  <c r="AE215" i="1"/>
  <c r="CK215" i="1" s="1"/>
  <c r="AD215" i="1"/>
  <c r="CJ215" i="1" s="1"/>
  <c r="AE214" i="1"/>
  <c r="CK214" i="1" s="1"/>
  <c r="AD214" i="1"/>
  <c r="CJ214" i="1" s="1"/>
  <c r="AE213" i="1"/>
  <c r="CK213" i="1" s="1"/>
  <c r="AD213" i="1"/>
  <c r="CJ213" i="1" s="1"/>
  <c r="AE212" i="1"/>
  <c r="CK212" i="1" s="1"/>
  <c r="AD212" i="1"/>
  <c r="CJ212" i="1" s="1"/>
  <c r="AE211" i="1"/>
  <c r="CK211" i="1" s="1"/>
  <c r="AD211" i="1"/>
  <c r="CJ211" i="1" s="1"/>
  <c r="AE210" i="1"/>
  <c r="CK210" i="1" s="1"/>
  <c r="AD210" i="1"/>
  <c r="CJ210" i="1" s="1"/>
  <c r="AE209" i="1"/>
  <c r="CK209" i="1" s="1"/>
  <c r="AD209" i="1"/>
  <c r="CJ209" i="1" s="1"/>
  <c r="AE208" i="1"/>
  <c r="CK208" i="1" s="1"/>
  <c r="AD208" i="1"/>
  <c r="CJ208" i="1" s="1"/>
  <c r="AE207" i="1"/>
  <c r="CK207" i="1" s="1"/>
  <c r="AD207" i="1"/>
  <c r="CJ207" i="1" s="1"/>
  <c r="AE206" i="1"/>
  <c r="CK206" i="1" s="1"/>
  <c r="AD206" i="1"/>
  <c r="CJ206" i="1" s="1"/>
  <c r="AE205" i="1"/>
  <c r="CK205" i="1" s="1"/>
  <c r="AD205" i="1"/>
  <c r="CJ205" i="1" s="1"/>
  <c r="AE204" i="1"/>
  <c r="CK204" i="1" s="1"/>
  <c r="AD204" i="1"/>
  <c r="CJ204" i="1" s="1"/>
  <c r="AE203" i="1"/>
  <c r="CK203" i="1" s="1"/>
  <c r="AD203" i="1"/>
  <c r="CJ203" i="1" s="1"/>
  <c r="AE202" i="1"/>
  <c r="CK202" i="1" s="1"/>
  <c r="AD202" i="1"/>
  <c r="CJ202" i="1" s="1"/>
  <c r="AE201" i="1"/>
  <c r="CK201" i="1" s="1"/>
  <c r="AD201" i="1"/>
  <c r="CJ201" i="1" s="1"/>
  <c r="AE200" i="1"/>
  <c r="CK200" i="1" s="1"/>
  <c r="AD200" i="1"/>
  <c r="CJ200" i="1" s="1"/>
  <c r="AE199" i="1"/>
  <c r="CK199" i="1" s="1"/>
  <c r="AD199" i="1"/>
  <c r="CJ199" i="1" s="1"/>
  <c r="AE198" i="1"/>
  <c r="CK198" i="1" s="1"/>
  <c r="AD198" i="1"/>
  <c r="CJ198" i="1" s="1"/>
  <c r="AE197" i="1"/>
  <c r="CK197" i="1" s="1"/>
  <c r="AD197" i="1"/>
  <c r="CJ197" i="1" s="1"/>
  <c r="AE196" i="1"/>
  <c r="CK196" i="1" s="1"/>
  <c r="AD196" i="1"/>
  <c r="CJ196" i="1" s="1"/>
  <c r="AE195" i="1"/>
  <c r="CK195" i="1" s="1"/>
  <c r="AD195" i="1"/>
  <c r="CJ195" i="1" s="1"/>
  <c r="AE194" i="1"/>
  <c r="CK194" i="1" s="1"/>
  <c r="AD194" i="1"/>
  <c r="CJ194" i="1" s="1"/>
  <c r="AE193" i="1"/>
  <c r="CK193" i="1" s="1"/>
  <c r="AD193" i="1"/>
  <c r="CJ193" i="1" s="1"/>
  <c r="AE192" i="1"/>
  <c r="CK192" i="1" s="1"/>
  <c r="AD192" i="1"/>
  <c r="CJ192" i="1" s="1"/>
  <c r="AE191" i="1"/>
  <c r="CK191" i="1" s="1"/>
  <c r="AD191" i="1"/>
  <c r="CJ191" i="1" s="1"/>
  <c r="AE190" i="1"/>
  <c r="CK190" i="1" s="1"/>
  <c r="AD190" i="1"/>
  <c r="CJ190" i="1" s="1"/>
  <c r="AE189" i="1"/>
  <c r="CK189" i="1" s="1"/>
  <c r="AD189" i="1"/>
  <c r="CJ189" i="1" s="1"/>
  <c r="AE188" i="1"/>
  <c r="CK188" i="1" s="1"/>
  <c r="AD188" i="1"/>
  <c r="CJ188" i="1" s="1"/>
  <c r="AE187" i="1"/>
  <c r="CK187" i="1" s="1"/>
  <c r="AD187" i="1"/>
  <c r="CJ187" i="1" s="1"/>
  <c r="AE186" i="1"/>
  <c r="CK186" i="1" s="1"/>
  <c r="AD186" i="1"/>
  <c r="CJ186" i="1" s="1"/>
  <c r="AE185" i="1"/>
  <c r="CK185" i="1" s="1"/>
  <c r="AD185" i="1"/>
  <c r="CJ185" i="1" s="1"/>
  <c r="AE184" i="1"/>
  <c r="CK184" i="1" s="1"/>
  <c r="AD184" i="1"/>
  <c r="CJ184" i="1" s="1"/>
  <c r="AE183" i="1"/>
  <c r="CK183" i="1" s="1"/>
  <c r="AD183" i="1"/>
  <c r="CJ183" i="1" s="1"/>
  <c r="AE182" i="1"/>
  <c r="CK182" i="1" s="1"/>
  <c r="AD182" i="1"/>
  <c r="CJ182" i="1" s="1"/>
  <c r="AE181" i="1"/>
  <c r="CK181" i="1" s="1"/>
  <c r="AD181" i="1"/>
  <c r="CJ181" i="1" s="1"/>
  <c r="AE180" i="1"/>
  <c r="CK180" i="1" s="1"/>
  <c r="AD180" i="1"/>
  <c r="CJ180" i="1" s="1"/>
  <c r="AE179" i="1"/>
  <c r="CK179" i="1" s="1"/>
  <c r="AD179" i="1"/>
  <c r="CJ179" i="1" s="1"/>
  <c r="AE178" i="1"/>
  <c r="CK178" i="1" s="1"/>
  <c r="AD178" i="1"/>
  <c r="CJ178" i="1" s="1"/>
  <c r="AE177" i="1"/>
  <c r="CK177" i="1" s="1"/>
  <c r="AD177" i="1"/>
  <c r="CJ177" i="1" s="1"/>
  <c r="AE176" i="1"/>
  <c r="CK176" i="1" s="1"/>
  <c r="AD176" i="1"/>
  <c r="CJ176" i="1" s="1"/>
  <c r="AE175" i="1"/>
  <c r="CK175" i="1" s="1"/>
  <c r="AD175" i="1"/>
  <c r="CJ175" i="1" s="1"/>
  <c r="AE174" i="1"/>
  <c r="CK174" i="1" s="1"/>
  <c r="AD174" i="1"/>
  <c r="CJ174" i="1" s="1"/>
  <c r="AE173" i="1"/>
  <c r="CK173" i="1" s="1"/>
  <c r="AD173" i="1"/>
  <c r="CJ173" i="1" s="1"/>
  <c r="AE172" i="1"/>
  <c r="CK172" i="1" s="1"/>
  <c r="AD172" i="1"/>
  <c r="CJ172" i="1" s="1"/>
  <c r="AE171" i="1"/>
  <c r="CK171" i="1" s="1"/>
  <c r="AD171" i="1"/>
  <c r="CJ171" i="1" s="1"/>
  <c r="AE170" i="1"/>
  <c r="CK170" i="1" s="1"/>
  <c r="AD170" i="1"/>
  <c r="CJ170" i="1" s="1"/>
  <c r="AE169" i="1"/>
  <c r="CK169" i="1" s="1"/>
  <c r="AD169" i="1"/>
  <c r="CJ169" i="1" s="1"/>
  <c r="AE168" i="1"/>
  <c r="CK168" i="1" s="1"/>
  <c r="AD168" i="1"/>
  <c r="CJ168" i="1" s="1"/>
  <c r="AE167" i="1"/>
  <c r="CK167" i="1" s="1"/>
  <c r="AD167" i="1"/>
  <c r="CJ167" i="1" s="1"/>
  <c r="AE166" i="1"/>
  <c r="CK166" i="1" s="1"/>
  <c r="AD166" i="1"/>
  <c r="CJ166" i="1" s="1"/>
  <c r="AE165" i="1"/>
  <c r="CK165" i="1" s="1"/>
  <c r="AD165" i="1"/>
  <c r="CJ165" i="1" s="1"/>
  <c r="AE164" i="1"/>
  <c r="CK164" i="1" s="1"/>
  <c r="AD164" i="1"/>
  <c r="CJ164" i="1" s="1"/>
  <c r="AE163" i="1"/>
  <c r="CK163" i="1" s="1"/>
  <c r="AD163" i="1"/>
  <c r="CJ163" i="1" s="1"/>
  <c r="AE162" i="1"/>
  <c r="CK162" i="1" s="1"/>
  <c r="AD162" i="1"/>
  <c r="CJ162" i="1" s="1"/>
  <c r="AE161" i="1"/>
  <c r="CK161" i="1" s="1"/>
  <c r="AD161" i="1"/>
  <c r="CJ161" i="1" s="1"/>
  <c r="AE160" i="1"/>
  <c r="CK160" i="1" s="1"/>
  <c r="AD160" i="1"/>
  <c r="CJ160" i="1" s="1"/>
  <c r="AE159" i="1"/>
  <c r="CK159" i="1" s="1"/>
  <c r="AD159" i="1"/>
  <c r="CJ159" i="1" s="1"/>
  <c r="AE158" i="1"/>
  <c r="CK158" i="1" s="1"/>
  <c r="AD158" i="1"/>
  <c r="CJ158" i="1" s="1"/>
  <c r="AE157" i="1"/>
  <c r="CK157" i="1" s="1"/>
  <c r="AD157" i="1"/>
  <c r="CJ157" i="1" s="1"/>
  <c r="AE156" i="1"/>
  <c r="CK156" i="1" s="1"/>
  <c r="AD156" i="1"/>
  <c r="CJ156" i="1" s="1"/>
  <c r="AE155" i="1"/>
  <c r="CK155" i="1" s="1"/>
  <c r="AD155" i="1"/>
  <c r="CJ155" i="1" s="1"/>
  <c r="AE154" i="1"/>
  <c r="CK154" i="1" s="1"/>
  <c r="AD154" i="1"/>
  <c r="CJ154" i="1" s="1"/>
  <c r="AE153" i="1"/>
  <c r="CK153" i="1" s="1"/>
  <c r="AD153" i="1"/>
  <c r="CJ153" i="1" s="1"/>
  <c r="AE152" i="1"/>
  <c r="CK152" i="1" s="1"/>
  <c r="AD152" i="1"/>
  <c r="CJ152" i="1" s="1"/>
  <c r="AE151" i="1"/>
  <c r="CK151" i="1" s="1"/>
  <c r="AD151" i="1"/>
  <c r="CJ151" i="1" s="1"/>
  <c r="AE150" i="1"/>
  <c r="CK150" i="1" s="1"/>
  <c r="AD150" i="1"/>
  <c r="CJ150" i="1" s="1"/>
  <c r="AE149" i="1"/>
  <c r="CK149" i="1" s="1"/>
  <c r="AD149" i="1"/>
  <c r="CJ149" i="1" s="1"/>
  <c r="AE148" i="1"/>
  <c r="CK148" i="1" s="1"/>
  <c r="AD148" i="1"/>
  <c r="CJ148" i="1" s="1"/>
  <c r="AE147" i="1"/>
  <c r="CK147" i="1" s="1"/>
  <c r="AD147" i="1"/>
  <c r="CJ147" i="1" s="1"/>
  <c r="AE146" i="1"/>
  <c r="CK146" i="1" s="1"/>
  <c r="AD146" i="1"/>
  <c r="CJ146" i="1" s="1"/>
  <c r="AE145" i="1"/>
  <c r="CK145" i="1" s="1"/>
  <c r="AD145" i="1"/>
  <c r="CJ145" i="1" s="1"/>
  <c r="AE144" i="1"/>
  <c r="CK144" i="1" s="1"/>
  <c r="AD144" i="1"/>
  <c r="CJ144" i="1" s="1"/>
  <c r="AE143" i="1"/>
  <c r="CK143" i="1" s="1"/>
  <c r="AD143" i="1"/>
  <c r="CJ143" i="1" s="1"/>
  <c r="AE142" i="1"/>
  <c r="CK142" i="1" s="1"/>
  <c r="AD142" i="1"/>
  <c r="CJ142" i="1" s="1"/>
  <c r="AE141" i="1"/>
  <c r="CK141" i="1" s="1"/>
  <c r="AD141" i="1"/>
  <c r="CJ141" i="1" s="1"/>
  <c r="AE140" i="1"/>
  <c r="CK140" i="1" s="1"/>
  <c r="AD140" i="1"/>
  <c r="CJ140" i="1" s="1"/>
  <c r="AE139" i="1"/>
  <c r="CK139" i="1" s="1"/>
  <c r="AD139" i="1"/>
  <c r="CJ139" i="1" s="1"/>
  <c r="AE138" i="1"/>
  <c r="CK138" i="1" s="1"/>
  <c r="AD138" i="1"/>
  <c r="CJ138" i="1" s="1"/>
  <c r="AE137" i="1"/>
  <c r="CK137" i="1" s="1"/>
  <c r="AD137" i="1"/>
  <c r="CJ137" i="1" s="1"/>
  <c r="AE136" i="1"/>
  <c r="CK136" i="1" s="1"/>
  <c r="AD136" i="1"/>
  <c r="CJ136" i="1" s="1"/>
  <c r="AE135" i="1"/>
  <c r="CK135" i="1" s="1"/>
  <c r="AD135" i="1"/>
  <c r="CJ135" i="1" s="1"/>
  <c r="AE134" i="1"/>
  <c r="CK134" i="1" s="1"/>
  <c r="AD134" i="1"/>
  <c r="CJ134" i="1" s="1"/>
  <c r="AE133" i="1"/>
  <c r="CK133" i="1" s="1"/>
  <c r="AD133" i="1"/>
  <c r="CJ133" i="1" s="1"/>
  <c r="AE132" i="1"/>
  <c r="CK132" i="1" s="1"/>
  <c r="AD132" i="1"/>
  <c r="CJ132" i="1" s="1"/>
  <c r="AE131" i="1"/>
  <c r="CK131" i="1" s="1"/>
  <c r="AD131" i="1"/>
  <c r="CJ131" i="1" s="1"/>
  <c r="AE130" i="1"/>
  <c r="CK130" i="1" s="1"/>
  <c r="AD130" i="1"/>
  <c r="CJ130" i="1" s="1"/>
  <c r="AE129" i="1"/>
  <c r="CK129" i="1" s="1"/>
  <c r="AD129" i="1"/>
  <c r="CJ129" i="1" s="1"/>
  <c r="AE128" i="1"/>
  <c r="CK128" i="1" s="1"/>
  <c r="AD128" i="1"/>
  <c r="CJ128" i="1" s="1"/>
  <c r="AE127" i="1"/>
  <c r="CK127" i="1" s="1"/>
  <c r="AD127" i="1"/>
  <c r="CJ127" i="1" s="1"/>
  <c r="AE126" i="1"/>
  <c r="CK126" i="1" s="1"/>
  <c r="AD126" i="1"/>
  <c r="CJ126" i="1" s="1"/>
  <c r="AE125" i="1"/>
  <c r="CK125" i="1" s="1"/>
  <c r="AD125" i="1"/>
  <c r="CJ125" i="1" s="1"/>
  <c r="AE124" i="1"/>
  <c r="CK124" i="1" s="1"/>
  <c r="AD124" i="1"/>
  <c r="CJ124" i="1" s="1"/>
  <c r="AE123" i="1"/>
  <c r="CK123" i="1" s="1"/>
  <c r="AD123" i="1"/>
  <c r="CJ123" i="1" s="1"/>
  <c r="AE122" i="1"/>
  <c r="CK122" i="1" s="1"/>
  <c r="AD122" i="1"/>
  <c r="CJ122" i="1" s="1"/>
  <c r="AE121" i="1"/>
  <c r="CK121" i="1" s="1"/>
  <c r="AD121" i="1"/>
  <c r="CJ121" i="1" s="1"/>
  <c r="AE120" i="1"/>
  <c r="CK120" i="1" s="1"/>
  <c r="AD120" i="1"/>
  <c r="CJ120" i="1" s="1"/>
  <c r="AE119" i="1"/>
  <c r="CK119" i="1" s="1"/>
  <c r="AD119" i="1"/>
  <c r="CJ119" i="1" s="1"/>
  <c r="AE118" i="1"/>
  <c r="CK118" i="1" s="1"/>
  <c r="AD118" i="1"/>
  <c r="CJ118" i="1" s="1"/>
  <c r="AE117" i="1"/>
  <c r="CK117" i="1" s="1"/>
  <c r="AD117" i="1"/>
  <c r="CJ117" i="1" s="1"/>
  <c r="AE116" i="1"/>
  <c r="CK116" i="1" s="1"/>
  <c r="AD116" i="1"/>
  <c r="CJ116" i="1" s="1"/>
  <c r="AE115" i="1"/>
  <c r="CK115" i="1" s="1"/>
  <c r="AD115" i="1"/>
  <c r="CJ115" i="1" s="1"/>
  <c r="AE114" i="1"/>
  <c r="CK114" i="1" s="1"/>
  <c r="AD114" i="1"/>
  <c r="CJ114" i="1" s="1"/>
  <c r="AE113" i="1"/>
  <c r="CK113" i="1" s="1"/>
  <c r="AD113" i="1"/>
  <c r="CJ113" i="1" s="1"/>
  <c r="AE112" i="1"/>
  <c r="CK112" i="1" s="1"/>
  <c r="AD112" i="1"/>
  <c r="CJ112" i="1" s="1"/>
  <c r="AE111" i="1"/>
  <c r="CK111" i="1" s="1"/>
  <c r="AD111" i="1"/>
  <c r="CJ111" i="1" s="1"/>
  <c r="AE110" i="1"/>
  <c r="CK110" i="1" s="1"/>
  <c r="AD110" i="1"/>
  <c r="CJ110" i="1" s="1"/>
  <c r="AE109" i="1"/>
  <c r="CK109" i="1" s="1"/>
  <c r="AD109" i="1"/>
  <c r="CJ109" i="1" s="1"/>
  <c r="AE108" i="1"/>
  <c r="CK108" i="1" s="1"/>
  <c r="AD108" i="1"/>
  <c r="CJ108" i="1" s="1"/>
  <c r="AE107" i="1"/>
  <c r="CK107" i="1" s="1"/>
  <c r="AD107" i="1"/>
  <c r="CJ107" i="1" s="1"/>
  <c r="AE106" i="1"/>
  <c r="CK106" i="1" s="1"/>
  <c r="AD106" i="1"/>
  <c r="CJ106" i="1" s="1"/>
  <c r="AE105" i="1"/>
  <c r="CK105" i="1" s="1"/>
  <c r="AD105" i="1"/>
  <c r="CJ105" i="1" s="1"/>
  <c r="AE104" i="1"/>
  <c r="CK104" i="1" s="1"/>
  <c r="AD104" i="1"/>
  <c r="CJ104" i="1" s="1"/>
  <c r="AE103" i="1"/>
  <c r="CK103" i="1" s="1"/>
  <c r="AD103" i="1"/>
  <c r="CJ103" i="1" s="1"/>
  <c r="AE102" i="1"/>
  <c r="CK102" i="1" s="1"/>
  <c r="AD102" i="1"/>
  <c r="CJ102" i="1" s="1"/>
  <c r="AE101" i="1"/>
  <c r="CK101" i="1" s="1"/>
  <c r="AD101" i="1"/>
  <c r="CJ101" i="1" s="1"/>
  <c r="AE100" i="1"/>
  <c r="CK100" i="1" s="1"/>
  <c r="AD100" i="1"/>
  <c r="CJ100" i="1" s="1"/>
  <c r="AE99" i="1"/>
  <c r="CK99" i="1" s="1"/>
  <c r="AD99" i="1"/>
  <c r="CJ99" i="1" s="1"/>
  <c r="AE98" i="1"/>
  <c r="CK98" i="1" s="1"/>
  <c r="AD98" i="1"/>
  <c r="CJ98" i="1" s="1"/>
  <c r="AE97" i="1"/>
  <c r="CK97" i="1" s="1"/>
  <c r="AD97" i="1"/>
  <c r="CJ97" i="1" s="1"/>
  <c r="AE96" i="1"/>
  <c r="CK96" i="1" s="1"/>
  <c r="AD96" i="1"/>
  <c r="CJ96" i="1" s="1"/>
  <c r="AE95" i="1"/>
  <c r="CK95" i="1" s="1"/>
  <c r="AD95" i="1"/>
  <c r="CJ95" i="1" s="1"/>
  <c r="AE94" i="1"/>
  <c r="CK94" i="1" s="1"/>
  <c r="AD94" i="1"/>
  <c r="CJ94" i="1" s="1"/>
  <c r="AE93" i="1"/>
  <c r="CK93" i="1" s="1"/>
  <c r="AD93" i="1"/>
  <c r="CJ93" i="1" s="1"/>
  <c r="AE92" i="1"/>
  <c r="CK92" i="1" s="1"/>
  <c r="AD92" i="1"/>
  <c r="CJ92" i="1" s="1"/>
  <c r="AE91" i="1"/>
  <c r="CK91" i="1" s="1"/>
  <c r="AD91" i="1"/>
  <c r="CJ91" i="1" s="1"/>
  <c r="AE90" i="1"/>
  <c r="CK90" i="1" s="1"/>
  <c r="AD90" i="1"/>
  <c r="CJ90" i="1" s="1"/>
  <c r="AE89" i="1"/>
  <c r="CK89" i="1" s="1"/>
  <c r="AD89" i="1"/>
  <c r="CJ89" i="1" s="1"/>
  <c r="AE88" i="1"/>
  <c r="CK88" i="1" s="1"/>
  <c r="AD88" i="1"/>
  <c r="CJ88" i="1" s="1"/>
  <c r="AE18" i="1"/>
  <c r="CK18" i="1" s="1"/>
  <c r="AD18" i="1"/>
  <c r="CJ18" i="1" s="1"/>
  <c r="AE17" i="1"/>
  <c r="CK17" i="1" s="1"/>
  <c r="AD17" i="1"/>
  <c r="CJ17" i="1" s="1"/>
  <c r="AE16" i="1"/>
  <c r="CK16" i="1" s="1"/>
  <c r="AD16" i="1"/>
  <c r="CJ16" i="1" s="1"/>
  <c r="AE15" i="1"/>
  <c r="CK15" i="1" s="1"/>
  <c r="AD15" i="1"/>
  <c r="CJ15" i="1" s="1"/>
  <c r="AE14" i="1"/>
  <c r="CK14" i="1" s="1"/>
  <c r="AD14" i="1"/>
  <c r="CJ14" i="1" s="1"/>
  <c r="AE13" i="1"/>
  <c r="CK13" i="1" s="1"/>
  <c r="AD13" i="1"/>
  <c r="CJ13" i="1" s="1"/>
  <c r="AE12" i="1"/>
  <c r="CK12" i="1" s="1"/>
  <c r="AD12" i="1"/>
  <c r="CJ12" i="1" s="1"/>
  <c r="AE11" i="1"/>
  <c r="CK11" i="1" s="1"/>
  <c r="AD11" i="1"/>
  <c r="CJ11" i="1" s="1"/>
  <c r="AE10" i="1"/>
  <c r="CK10" i="1" s="1"/>
  <c r="AD10" i="1"/>
  <c r="CJ10" i="1" s="1"/>
  <c r="AE9" i="1"/>
  <c r="CK9" i="1" s="1"/>
  <c r="AD9" i="1"/>
  <c r="CJ9" i="1" s="1"/>
  <c r="AE8" i="1"/>
  <c r="CK8" i="1" s="1"/>
  <c r="AD8" i="1"/>
  <c r="CJ8" i="1" s="1"/>
  <c r="AE7" i="1"/>
  <c r="CK7" i="1" s="1"/>
  <c r="AD7" i="1"/>
  <c r="CJ7" i="1" s="1"/>
  <c r="AE6" i="1"/>
  <c r="CK6" i="1" s="1"/>
  <c r="AD6" i="1"/>
  <c r="CJ6" i="1" s="1"/>
  <c r="AE5" i="1"/>
  <c r="CK5" i="1" s="1"/>
  <c r="AD5" i="1"/>
  <c r="CJ5" i="1" s="1"/>
  <c r="AE4" i="1"/>
  <c r="CK4" i="1" s="1"/>
  <c r="AD4" i="1"/>
  <c r="CJ4" i="1" s="1"/>
  <c r="AE3" i="1"/>
  <c r="CK3" i="1" s="1"/>
  <c r="AD3" i="1"/>
  <c r="CJ3" i="1" s="1"/>
  <c r="AE2" i="1"/>
  <c r="CK2" i="1" s="1"/>
  <c r="AD2" i="1"/>
  <c r="CJ2" i="1" s="1"/>
  <c r="AC297" i="1"/>
  <c r="CI297" i="1" s="1"/>
  <c r="AC296" i="1"/>
  <c r="CI296" i="1" s="1"/>
  <c r="AC295" i="1"/>
  <c r="CI295" i="1" s="1"/>
  <c r="AC294" i="1"/>
  <c r="CI294" i="1" s="1"/>
  <c r="AC293" i="1"/>
  <c r="CI293" i="1" s="1"/>
  <c r="AC292" i="1"/>
  <c r="CI292" i="1" s="1"/>
  <c r="AC291" i="1"/>
  <c r="CI291" i="1" s="1"/>
  <c r="AC290" i="1"/>
  <c r="CI290" i="1" s="1"/>
  <c r="AC289" i="1"/>
  <c r="CI289" i="1" s="1"/>
  <c r="AC288" i="1"/>
  <c r="CI288" i="1" s="1"/>
  <c r="AC287" i="1"/>
  <c r="CI287" i="1" s="1"/>
  <c r="AC286" i="1"/>
  <c r="CI286" i="1" s="1"/>
  <c r="AC285" i="1"/>
  <c r="CI285" i="1" s="1"/>
  <c r="AC284" i="1"/>
  <c r="CI284" i="1" s="1"/>
  <c r="AC283" i="1"/>
  <c r="CI283" i="1" s="1"/>
  <c r="AC282" i="1"/>
  <c r="CI282" i="1" s="1"/>
  <c r="AC281" i="1"/>
  <c r="CI281" i="1" s="1"/>
  <c r="AC280" i="1"/>
  <c r="CI280" i="1" s="1"/>
  <c r="AC279" i="1"/>
  <c r="CI279" i="1" s="1"/>
  <c r="AC278" i="1"/>
  <c r="CI278" i="1" s="1"/>
  <c r="AC277" i="1"/>
  <c r="CI277" i="1" s="1"/>
  <c r="AC276" i="1"/>
  <c r="CI276" i="1" s="1"/>
  <c r="AC275" i="1"/>
  <c r="CI275" i="1" s="1"/>
  <c r="AC274" i="1"/>
  <c r="CI274" i="1" s="1"/>
  <c r="AC273" i="1"/>
  <c r="CI273" i="1" s="1"/>
  <c r="AC272" i="1"/>
  <c r="CI272" i="1" s="1"/>
  <c r="AC271" i="1"/>
  <c r="CI271" i="1" s="1"/>
  <c r="AC270" i="1"/>
  <c r="CI270" i="1" s="1"/>
  <c r="AC269" i="1"/>
  <c r="CI269" i="1" s="1"/>
  <c r="AC268" i="1"/>
  <c r="CI268" i="1" s="1"/>
  <c r="AC267" i="1"/>
  <c r="CI267" i="1" s="1"/>
  <c r="AC266" i="1"/>
  <c r="CI266" i="1" s="1"/>
  <c r="AC265" i="1"/>
  <c r="CI265" i="1" s="1"/>
  <c r="AC264" i="1"/>
  <c r="CI264" i="1" s="1"/>
  <c r="AC263" i="1"/>
  <c r="CI263" i="1" s="1"/>
  <c r="AC262" i="1"/>
  <c r="CI262" i="1" s="1"/>
  <c r="AC261" i="1"/>
  <c r="CI261" i="1" s="1"/>
  <c r="AC260" i="1"/>
  <c r="CI260" i="1" s="1"/>
  <c r="AC259" i="1"/>
  <c r="CI259" i="1" s="1"/>
  <c r="AC258" i="1"/>
  <c r="CI258" i="1" s="1"/>
  <c r="AC257" i="1"/>
  <c r="CI257" i="1" s="1"/>
  <c r="AC256" i="1"/>
  <c r="CI256" i="1" s="1"/>
  <c r="AC255" i="1"/>
  <c r="CI255" i="1" s="1"/>
  <c r="AC254" i="1"/>
  <c r="CI254" i="1" s="1"/>
  <c r="AC253" i="1"/>
  <c r="CI253" i="1" s="1"/>
  <c r="AC252" i="1"/>
  <c r="CI252" i="1" s="1"/>
  <c r="AC251" i="1"/>
  <c r="CI251" i="1" s="1"/>
  <c r="AC250" i="1"/>
  <c r="CI250" i="1" s="1"/>
  <c r="AC249" i="1"/>
  <c r="CI249" i="1" s="1"/>
  <c r="AC248" i="1"/>
  <c r="CI248" i="1" s="1"/>
  <c r="AC247" i="1"/>
  <c r="CI247" i="1" s="1"/>
  <c r="AC246" i="1"/>
  <c r="CI246" i="1" s="1"/>
  <c r="AC245" i="1"/>
  <c r="CI245" i="1" s="1"/>
  <c r="AC244" i="1"/>
  <c r="CI244" i="1" s="1"/>
  <c r="AC243" i="1"/>
  <c r="CI243" i="1" s="1"/>
  <c r="AC242" i="1"/>
  <c r="CI242" i="1" s="1"/>
  <c r="AC241" i="1"/>
  <c r="CI241" i="1" s="1"/>
  <c r="AC240" i="1"/>
  <c r="CI240" i="1" s="1"/>
  <c r="AC239" i="1"/>
  <c r="CI239" i="1" s="1"/>
  <c r="AC238" i="1"/>
  <c r="CI238" i="1" s="1"/>
  <c r="AC237" i="1"/>
  <c r="CI237" i="1" s="1"/>
  <c r="AC236" i="1"/>
  <c r="CI236" i="1" s="1"/>
  <c r="AC235" i="1"/>
  <c r="CI235" i="1" s="1"/>
  <c r="AC234" i="1"/>
  <c r="CI234" i="1" s="1"/>
  <c r="AC233" i="1"/>
  <c r="CI233" i="1" s="1"/>
  <c r="AC232" i="1"/>
  <c r="CI232" i="1" s="1"/>
  <c r="AC231" i="1"/>
  <c r="CI231" i="1" s="1"/>
  <c r="AC230" i="1"/>
  <c r="CI230" i="1" s="1"/>
  <c r="AC229" i="1"/>
  <c r="CI229" i="1" s="1"/>
  <c r="AC228" i="1"/>
  <c r="CI228" i="1" s="1"/>
  <c r="AC227" i="1"/>
  <c r="CI227" i="1" s="1"/>
  <c r="AC226" i="1"/>
  <c r="CI226" i="1" s="1"/>
  <c r="AC225" i="1"/>
  <c r="CI225" i="1" s="1"/>
  <c r="AC224" i="1"/>
  <c r="CI224" i="1" s="1"/>
  <c r="AC223" i="1"/>
  <c r="CI223" i="1" s="1"/>
  <c r="AC222" i="1"/>
  <c r="CI222" i="1" s="1"/>
  <c r="AC221" i="1"/>
  <c r="CI221" i="1" s="1"/>
  <c r="AC220" i="1"/>
  <c r="CI220" i="1" s="1"/>
  <c r="AC219" i="1"/>
  <c r="CI219" i="1" s="1"/>
  <c r="AC218" i="1"/>
  <c r="CI218" i="1" s="1"/>
  <c r="AC217" i="1"/>
  <c r="CI217" i="1" s="1"/>
  <c r="AC216" i="1"/>
  <c r="CI216" i="1" s="1"/>
  <c r="AC215" i="1"/>
  <c r="CI215" i="1" s="1"/>
  <c r="AC214" i="1"/>
  <c r="CI214" i="1" s="1"/>
  <c r="AC213" i="1"/>
  <c r="CI213" i="1" s="1"/>
  <c r="AC212" i="1"/>
  <c r="CI212" i="1" s="1"/>
  <c r="AC211" i="1"/>
  <c r="CI211" i="1" s="1"/>
  <c r="AC210" i="1"/>
  <c r="CI210" i="1" s="1"/>
  <c r="AC209" i="1"/>
  <c r="CI209" i="1" s="1"/>
  <c r="AC208" i="1"/>
  <c r="CI208" i="1" s="1"/>
  <c r="AC207" i="1"/>
  <c r="CI207" i="1" s="1"/>
  <c r="AC206" i="1"/>
  <c r="CI206" i="1" s="1"/>
  <c r="AC205" i="1"/>
  <c r="CI205" i="1" s="1"/>
  <c r="AC204" i="1"/>
  <c r="CI204" i="1" s="1"/>
  <c r="AC203" i="1"/>
  <c r="CI203" i="1" s="1"/>
  <c r="AC202" i="1"/>
  <c r="CI202" i="1" s="1"/>
  <c r="AC201" i="1"/>
  <c r="CI201" i="1" s="1"/>
  <c r="AC200" i="1"/>
  <c r="CI200" i="1" s="1"/>
  <c r="AC199" i="1"/>
  <c r="CI199" i="1" s="1"/>
  <c r="AC198" i="1"/>
  <c r="CI198" i="1" s="1"/>
  <c r="AC197" i="1"/>
  <c r="CI197" i="1" s="1"/>
  <c r="AC196" i="1"/>
  <c r="CI196" i="1" s="1"/>
  <c r="AC195" i="1"/>
  <c r="CI195" i="1" s="1"/>
  <c r="AC194" i="1"/>
  <c r="CI194" i="1" s="1"/>
  <c r="AC193" i="1"/>
  <c r="CI193" i="1" s="1"/>
  <c r="AC192" i="1"/>
  <c r="CI192" i="1" s="1"/>
  <c r="AC191" i="1"/>
  <c r="CI191" i="1" s="1"/>
  <c r="AC190" i="1"/>
  <c r="CI190" i="1" s="1"/>
  <c r="AC189" i="1"/>
  <c r="CI189" i="1" s="1"/>
  <c r="AC188" i="1"/>
  <c r="CI188" i="1" s="1"/>
  <c r="AC187" i="1"/>
  <c r="CI187" i="1" s="1"/>
  <c r="AC186" i="1"/>
  <c r="CI186" i="1" s="1"/>
  <c r="AC185" i="1"/>
  <c r="CI185" i="1" s="1"/>
  <c r="AC184" i="1"/>
  <c r="CI184" i="1" s="1"/>
  <c r="AC183" i="1"/>
  <c r="CI183" i="1" s="1"/>
  <c r="AC182" i="1"/>
  <c r="CI182" i="1" s="1"/>
  <c r="AC181" i="1"/>
  <c r="CI181" i="1" s="1"/>
  <c r="AC180" i="1"/>
  <c r="CI180" i="1" s="1"/>
  <c r="AC179" i="1"/>
  <c r="CI179" i="1" s="1"/>
  <c r="AC178" i="1"/>
  <c r="CI178" i="1" s="1"/>
  <c r="AC177" i="1"/>
  <c r="CI177" i="1" s="1"/>
  <c r="AC176" i="1"/>
  <c r="CI176" i="1" s="1"/>
  <c r="AC175" i="1"/>
  <c r="CI175" i="1" s="1"/>
  <c r="AC174" i="1"/>
  <c r="CI174" i="1" s="1"/>
  <c r="AC173" i="1"/>
  <c r="CI173" i="1" s="1"/>
  <c r="AC172" i="1"/>
  <c r="CI172" i="1" s="1"/>
  <c r="AC171" i="1"/>
  <c r="CI171" i="1" s="1"/>
  <c r="AC170" i="1"/>
  <c r="CI170" i="1" s="1"/>
  <c r="AC169" i="1"/>
  <c r="CI169" i="1" s="1"/>
  <c r="AC168" i="1"/>
  <c r="CI168" i="1" s="1"/>
  <c r="AC167" i="1"/>
  <c r="CI167" i="1" s="1"/>
  <c r="AC166" i="1"/>
  <c r="CI166" i="1" s="1"/>
  <c r="AC165" i="1"/>
  <c r="CI165" i="1" s="1"/>
  <c r="AC164" i="1"/>
  <c r="CI164" i="1" s="1"/>
  <c r="AC163" i="1"/>
  <c r="CI163" i="1" s="1"/>
  <c r="AC162" i="1"/>
  <c r="CI162" i="1" s="1"/>
  <c r="AC161" i="1"/>
  <c r="CI161" i="1" s="1"/>
  <c r="AC160" i="1"/>
  <c r="CI160" i="1" s="1"/>
  <c r="AC159" i="1"/>
  <c r="CI159" i="1" s="1"/>
  <c r="AC158" i="1"/>
  <c r="CI158" i="1" s="1"/>
  <c r="AC157" i="1"/>
  <c r="CI157" i="1" s="1"/>
  <c r="AC156" i="1"/>
  <c r="CI156" i="1" s="1"/>
  <c r="AC155" i="1"/>
  <c r="CI155" i="1" s="1"/>
  <c r="AC154" i="1"/>
  <c r="CI154" i="1" s="1"/>
  <c r="AC153" i="1"/>
  <c r="CI153" i="1" s="1"/>
  <c r="AC152" i="1"/>
  <c r="CI152" i="1" s="1"/>
  <c r="AC151" i="1"/>
  <c r="CI151" i="1" s="1"/>
  <c r="AC150" i="1"/>
  <c r="CI150" i="1" s="1"/>
  <c r="AC149" i="1"/>
  <c r="CI149" i="1" s="1"/>
  <c r="AC148" i="1"/>
  <c r="CI148" i="1" s="1"/>
  <c r="AC147" i="1"/>
  <c r="CI147" i="1" s="1"/>
  <c r="AC146" i="1"/>
  <c r="CI146" i="1" s="1"/>
  <c r="AC145" i="1"/>
  <c r="CI145" i="1" s="1"/>
  <c r="AC144" i="1"/>
  <c r="CI144" i="1" s="1"/>
  <c r="AC143" i="1"/>
  <c r="CI143" i="1" s="1"/>
  <c r="AC142" i="1"/>
  <c r="CI142" i="1" s="1"/>
  <c r="AC141" i="1"/>
  <c r="CI141" i="1" s="1"/>
  <c r="AC140" i="1"/>
  <c r="CI140" i="1" s="1"/>
  <c r="AC139" i="1"/>
  <c r="CI139" i="1" s="1"/>
  <c r="AC138" i="1"/>
  <c r="CI138" i="1" s="1"/>
  <c r="AC137" i="1"/>
  <c r="CI137" i="1" s="1"/>
  <c r="AC136" i="1"/>
  <c r="CI136" i="1" s="1"/>
  <c r="AC135" i="1"/>
  <c r="CI135" i="1" s="1"/>
  <c r="AC134" i="1"/>
  <c r="CI134" i="1" s="1"/>
  <c r="AC133" i="1"/>
  <c r="CI133" i="1" s="1"/>
  <c r="AC132" i="1"/>
  <c r="CI132" i="1" s="1"/>
  <c r="AC131" i="1"/>
  <c r="CI131" i="1" s="1"/>
  <c r="AC130" i="1"/>
  <c r="CI130" i="1" s="1"/>
  <c r="AC129" i="1"/>
  <c r="CI129" i="1" s="1"/>
  <c r="AC128" i="1"/>
  <c r="CI128" i="1" s="1"/>
  <c r="AC127" i="1"/>
  <c r="CI127" i="1" s="1"/>
  <c r="AC126" i="1"/>
  <c r="CI126" i="1" s="1"/>
  <c r="AC125" i="1"/>
  <c r="CI125" i="1" s="1"/>
  <c r="AC124" i="1"/>
  <c r="CI124" i="1" s="1"/>
  <c r="AC123" i="1"/>
  <c r="CI123" i="1" s="1"/>
  <c r="AC122" i="1"/>
  <c r="CI122" i="1" s="1"/>
  <c r="AC121" i="1"/>
  <c r="CI121" i="1" s="1"/>
  <c r="AC120" i="1"/>
  <c r="CI120" i="1" s="1"/>
  <c r="AC119" i="1"/>
  <c r="CI119" i="1" s="1"/>
  <c r="AC118" i="1"/>
  <c r="CI118" i="1" s="1"/>
  <c r="AC117" i="1"/>
  <c r="CI117" i="1" s="1"/>
  <c r="AC116" i="1"/>
  <c r="CI116" i="1" s="1"/>
  <c r="AC115" i="1"/>
  <c r="CI115" i="1" s="1"/>
  <c r="AC114" i="1"/>
  <c r="CI114" i="1" s="1"/>
  <c r="AC113" i="1"/>
  <c r="CI113" i="1" s="1"/>
  <c r="AC112" i="1"/>
  <c r="CI112" i="1" s="1"/>
  <c r="AC111" i="1"/>
  <c r="CI111" i="1" s="1"/>
  <c r="AC110" i="1"/>
  <c r="CI110" i="1" s="1"/>
  <c r="AC109" i="1"/>
  <c r="CI109" i="1" s="1"/>
  <c r="AC108" i="1"/>
  <c r="CI108" i="1" s="1"/>
  <c r="AC107" i="1"/>
  <c r="CI107" i="1" s="1"/>
  <c r="AC106" i="1"/>
  <c r="CI106" i="1" s="1"/>
  <c r="AC105" i="1"/>
  <c r="CI105" i="1" s="1"/>
  <c r="AC104" i="1"/>
  <c r="CI104" i="1" s="1"/>
  <c r="AC103" i="1"/>
  <c r="CI103" i="1" s="1"/>
  <c r="AC102" i="1"/>
  <c r="CI102" i="1" s="1"/>
  <c r="AC101" i="1"/>
  <c r="CI101" i="1" s="1"/>
  <c r="AC100" i="1"/>
  <c r="CI100" i="1" s="1"/>
  <c r="AC99" i="1"/>
  <c r="CI99" i="1" s="1"/>
  <c r="AC98" i="1"/>
  <c r="CI98" i="1" s="1"/>
  <c r="AC97" i="1"/>
  <c r="CI97" i="1" s="1"/>
  <c r="AC96" i="1"/>
  <c r="CI96" i="1" s="1"/>
  <c r="AC95" i="1"/>
  <c r="CI95" i="1" s="1"/>
  <c r="AC94" i="1"/>
  <c r="CI94" i="1" s="1"/>
  <c r="AC93" i="1"/>
  <c r="CI93" i="1" s="1"/>
  <c r="AC92" i="1"/>
  <c r="CI92" i="1" s="1"/>
  <c r="AC91" i="1"/>
  <c r="CI91" i="1" s="1"/>
  <c r="AC90" i="1"/>
  <c r="CI90" i="1" s="1"/>
  <c r="AC89" i="1"/>
  <c r="CI89" i="1" s="1"/>
  <c r="AC88" i="1"/>
  <c r="CI88" i="1" s="1"/>
  <c r="AC12" i="1"/>
  <c r="CI12" i="1" s="1"/>
  <c r="AC11" i="1"/>
  <c r="CI11" i="1" s="1"/>
  <c r="AC10" i="1"/>
  <c r="CI10" i="1" s="1"/>
  <c r="AC9" i="1"/>
  <c r="CI9" i="1" s="1"/>
  <c r="AC8" i="1"/>
  <c r="CI8" i="1" s="1"/>
  <c r="AC7" i="1"/>
  <c r="CI7" i="1" s="1"/>
  <c r="AC6" i="1"/>
  <c r="CI6" i="1" s="1"/>
  <c r="AC5" i="1"/>
  <c r="CI5" i="1" s="1"/>
  <c r="AC4" i="1"/>
  <c r="CI4" i="1" s="1"/>
  <c r="AC3" i="1"/>
  <c r="CI3" i="1" s="1"/>
  <c r="AC18" i="1"/>
  <c r="CI18" i="1" s="1"/>
  <c r="AC17" i="1"/>
  <c r="CI17" i="1" s="1"/>
  <c r="AC16" i="1"/>
  <c r="CI16" i="1" s="1"/>
  <c r="AC15" i="1"/>
  <c r="CI15" i="1" s="1"/>
  <c r="AC14" i="1"/>
  <c r="CI14" i="1" s="1"/>
  <c r="AC13" i="1"/>
  <c r="CI13" i="1" s="1"/>
  <c r="AC2" i="1"/>
  <c r="CI2" i="1" s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X4" i="1" l="1"/>
  <c r="Z4" i="1"/>
  <c r="X6" i="1"/>
  <c r="Z6" i="1"/>
  <c r="X8" i="1"/>
  <c r="Z8" i="1"/>
  <c r="X10" i="1"/>
  <c r="Z10" i="1"/>
  <c r="X12" i="1"/>
  <c r="Z12" i="1"/>
  <c r="X14" i="1"/>
  <c r="Z14" i="1"/>
  <c r="X16" i="1"/>
  <c r="Z16" i="1"/>
  <c r="X18" i="1"/>
  <c r="Z18" i="1"/>
  <c r="X20" i="1"/>
  <c r="Z20" i="1"/>
  <c r="X22" i="1"/>
  <c r="Z22" i="1"/>
  <c r="X24" i="1"/>
  <c r="Z24" i="1"/>
  <c r="X26" i="1"/>
  <c r="Z26" i="1"/>
  <c r="X28" i="1"/>
  <c r="Z28" i="1"/>
  <c r="X30" i="1"/>
  <c r="Z30" i="1"/>
  <c r="X32" i="1"/>
  <c r="Z32" i="1"/>
  <c r="X34" i="1"/>
  <c r="Z34" i="1"/>
  <c r="X36" i="1"/>
  <c r="Z36" i="1"/>
  <c r="X38" i="1"/>
  <c r="Z38" i="1"/>
  <c r="X40" i="1"/>
  <c r="Z40" i="1"/>
  <c r="X42" i="1"/>
  <c r="Z42" i="1"/>
  <c r="X44" i="1"/>
  <c r="Z44" i="1"/>
  <c r="X46" i="1"/>
  <c r="Z46" i="1"/>
  <c r="X48" i="1"/>
  <c r="Z48" i="1"/>
  <c r="X50" i="1"/>
  <c r="Z50" i="1"/>
  <c r="X52" i="1"/>
  <c r="Z52" i="1"/>
  <c r="X54" i="1"/>
  <c r="Z54" i="1"/>
  <c r="X56" i="1"/>
  <c r="Z56" i="1"/>
  <c r="X58" i="1"/>
  <c r="Z58" i="1"/>
  <c r="AA60" i="1"/>
  <c r="AB60" i="1" s="1"/>
  <c r="X60" i="1"/>
  <c r="Z60" i="1"/>
  <c r="AA62" i="1"/>
  <c r="AB62" i="1" s="1"/>
  <c r="X62" i="1"/>
  <c r="Z62" i="1"/>
  <c r="AA64" i="1"/>
  <c r="AB64" i="1" s="1"/>
  <c r="X64" i="1"/>
  <c r="Z64" i="1"/>
  <c r="AA66" i="1"/>
  <c r="AB66" i="1" s="1"/>
  <c r="X66" i="1"/>
  <c r="Z66" i="1"/>
  <c r="AA68" i="1"/>
  <c r="AB68" i="1" s="1"/>
  <c r="X68" i="1"/>
  <c r="Z68" i="1"/>
  <c r="AA70" i="1"/>
  <c r="AB70" i="1" s="1"/>
  <c r="X70" i="1"/>
  <c r="Z70" i="1"/>
  <c r="AA83" i="1"/>
  <c r="AB83" i="1" s="1"/>
  <c r="X83" i="1"/>
  <c r="Z83" i="1"/>
  <c r="AA85" i="1"/>
  <c r="AB85" i="1" s="1"/>
  <c r="X85" i="1"/>
  <c r="Z85" i="1"/>
  <c r="AA87" i="1"/>
  <c r="AB87" i="1" s="1"/>
  <c r="X87" i="1"/>
  <c r="Z87" i="1"/>
  <c r="AA89" i="1"/>
  <c r="AB89" i="1" s="1"/>
  <c r="X89" i="1"/>
  <c r="Z89" i="1"/>
  <c r="AA91" i="1"/>
  <c r="AB91" i="1" s="1"/>
  <c r="X91" i="1"/>
  <c r="Z91" i="1"/>
  <c r="AA107" i="1"/>
  <c r="AB107" i="1" s="1"/>
  <c r="X107" i="1"/>
  <c r="Z107" i="1"/>
  <c r="AA109" i="1"/>
  <c r="AB109" i="1" s="1"/>
  <c r="X109" i="1"/>
  <c r="Z109" i="1"/>
  <c r="AA111" i="1"/>
  <c r="AB111" i="1" s="1"/>
  <c r="X111" i="1"/>
  <c r="Z111" i="1"/>
  <c r="AA113" i="1"/>
  <c r="AB113" i="1" s="1"/>
  <c r="X113" i="1"/>
  <c r="Z113" i="1"/>
  <c r="AA115" i="1"/>
  <c r="AB115" i="1" s="1"/>
  <c r="X115" i="1"/>
  <c r="Z115" i="1"/>
  <c r="AA117" i="1"/>
  <c r="AB117" i="1" s="1"/>
  <c r="X117" i="1"/>
  <c r="Z117" i="1"/>
  <c r="AA119" i="1"/>
  <c r="AB119" i="1" s="1"/>
  <c r="X119" i="1"/>
  <c r="Z119" i="1"/>
  <c r="AA121" i="1"/>
  <c r="AB121" i="1" s="1"/>
  <c r="X121" i="1"/>
  <c r="Z121" i="1"/>
  <c r="AA123" i="1"/>
  <c r="AB123" i="1" s="1"/>
  <c r="X123" i="1"/>
  <c r="Z123" i="1"/>
  <c r="AA125" i="1"/>
  <c r="AB125" i="1" s="1"/>
  <c r="X125" i="1"/>
  <c r="Z125" i="1"/>
  <c r="AA127" i="1"/>
  <c r="AB127" i="1" s="1"/>
  <c r="X127" i="1"/>
  <c r="Z127" i="1"/>
  <c r="AA129" i="1"/>
  <c r="AB129" i="1" s="1"/>
  <c r="X129" i="1"/>
  <c r="Z129" i="1"/>
  <c r="AA131" i="1"/>
  <c r="AB131" i="1" s="1"/>
  <c r="X131" i="1"/>
  <c r="Z131" i="1"/>
  <c r="AA133" i="1"/>
  <c r="AB133" i="1" s="1"/>
  <c r="X133" i="1"/>
  <c r="Z133" i="1"/>
  <c r="AA135" i="1"/>
  <c r="AB135" i="1" s="1"/>
  <c r="X135" i="1"/>
  <c r="Z135" i="1"/>
  <c r="AA137" i="1"/>
  <c r="AB137" i="1" s="1"/>
  <c r="X137" i="1"/>
  <c r="Z137" i="1"/>
  <c r="AA147" i="1"/>
  <c r="AB147" i="1" s="1"/>
  <c r="X147" i="1"/>
  <c r="Z147" i="1"/>
  <c r="AA149" i="1"/>
  <c r="AB149" i="1" s="1"/>
  <c r="X149" i="1"/>
  <c r="Z149" i="1"/>
  <c r="AA155" i="1"/>
  <c r="AB155" i="1" s="1"/>
  <c r="X155" i="1"/>
  <c r="Z155" i="1"/>
  <c r="AA157" i="1"/>
  <c r="AB157" i="1" s="1"/>
  <c r="X157" i="1"/>
  <c r="Z157" i="1"/>
  <c r="AA159" i="1"/>
  <c r="AB159" i="1" s="1"/>
  <c r="X159" i="1"/>
  <c r="Z159" i="1"/>
  <c r="AA161" i="1"/>
  <c r="AB161" i="1" s="1"/>
  <c r="X161" i="1"/>
  <c r="Z161" i="1"/>
  <c r="AA163" i="1"/>
  <c r="AB163" i="1" s="1"/>
  <c r="X163" i="1"/>
  <c r="Z163" i="1"/>
  <c r="AA169" i="1"/>
  <c r="AB169" i="1" s="1"/>
  <c r="X169" i="1"/>
  <c r="Z169" i="1"/>
  <c r="AA171" i="1"/>
  <c r="AB171" i="1" s="1"/>
  <c r="X171" i="1"/>
  <c r="Z171" i="1"/>
  <c r="AA173" i="1"/>
  <c r="AB173" i="1" s="1"/>
  <c r="X173" i="1"/>
  <c r="Z173" i="1"/>
  <c r="AA175" i="1"/>
  <c r="AB175" i="1" s="1"/>
  <c r="X175" i="1"/>
  <c r="Z175" i="1"/>
  <c r="AA177" i="1"/>
  <c r="AB177" i="1" s="1"/>
  <c r="X177" i="1"/>
  <c r="Z177" i="1"/>
  <c r="AA179" i="1"/>
  <c r="AB179" i="1" s="1"/>
  <c r="X179" i="1"/>
  <c r="Z179" i="1"/>
  <c r="AA181" i="1"/>
  <c r="AB181" i="1" s="1"/>
  <c r="X181" i="1"/>
  <c r="Z181" i="1"/>
  <c r="AA183" i="1"/>
  <c r="AB183" i="1" s="1"/>
  <c r="X183" i="1"/>
  <c r="Z183" i="1"/>
  <c r="AA185" i="1"/>
  <c r="AB185" i="1" s="1"/>
  <c r="X185" i="1"/>
  <c r="Z185" i="1"/>
  <c r="AA187" i="1"/>
  <c r="AB187" i="1" s="1"/>
  <c r="X187" i="1"/>
  <c r="Z187" i="1"/>
  <c r="AA189" i="1"/>
  <c r="AB189" i="1" s="1"/>
  <c r="X189" i="1"/>
  <c r="Z189" i="1"/>
  <c r="AA191" i="1"/>
  <c r="AB191" i="1" s="1"/>
  <c r="X191" i="1"/>
  <c r="Z191" i="1"/>
  <c r="AA193" i="1"/>
  <c r="AB193" i="1" s="1"/>
  <c r="X193" i="1"/>
  <c r="Z193" i="1"/>
  <c r="AA195" i="1"/>
  <c r="AB195" i="1" s="1"/>
  <c r="X195" i="1"/>
  <c r="Z195" i="1"/>
  <c r="AA197" i="1"/>
  <c r="AB197" i="1" s="1"/>
  <c r="X197" i="1"/>
  <c r="Z197" i="1"/>
  <c r="AA199" i="1"/>
  <c r="AB199" i="1" s="1"/>
  <c r="X199" i="1"/>
  <c r="Z199" i="1"/>
  <c r="AA201" i="1"/>
  <c r="AB201" i="1" s="1"/>
  <c r="X201" i="1"/>
  <c r="Z201" i="1"/>
  <c r="AA203" i="1"/>
  <c r="AB203" i="1" s="1"/>
  <c r="X203" i="1"/>
  <c r="Z203" i="1"/>
  <c r="AA205" i="1"/>
  <c r="AB205" i="1" s="1"/>
  <c r="X205" i="1"/>
  <c r="Z205" i="1"/>
  <c r="AA207" i="1"/>
  <c r="AB207" i="1" s="1"/>
  <c r="X207" i="1"/>
  <c r="Z207" i="1"/>
  <c r="AA209" i="1"/>
  <c r="AB209" i="1" s="1"/>
  <c r="X209" i="1"/>
  <c r="Z209" i="1"/>
  <c r="AA211" i="1"/>
  <c r="AB211" i="1" s="1"/>
  <c r="X211" i="1"/>
  <c r="Z211" i="1"/>
  <c r="AA213" i="1"/>
  <c r="AB213" i="1" s="1"/>
  <c r="X213" i="1"/>
  <c r="Z213" i="1"/>
  <c r="AA215" i="1"/>
  <c r="AB215" i="1" s="1"/>
  <c r="X215" i="1"/>
  <c r="Z215" i="1"/>
  <c r="AA217" i="1"/>
  <c r="AB217" i="1" s="1"/>
  <c r="X217" i="1"/>
  <c r="Z217" i="1"/>
  <c r="AA219" i="1"/>
  <c r="AB219" i="1" s="1"/>
  <c r="X219" i="1"/>
  <c r="Z219" i="1"/>
  <c r="AA221" i="1"/>
  <c r="AB221" i="1" s="1"/>
  <c r="X221" i="1"/>
  <c r="Z221" i="1"/>
  <c r="AA223" i="1"/>
  <c r="AB223" i="1" s="1"/>
  <c r="X223" i="1"/>
  <c r="Z223" i="1"/>
  <c r="AA225" i="1"/>
  <c r="AB225" i="1" s="1"/>
  <c r="X225" i="1"/>
  <c r="Z225" i="1"/>
  <c r="AA227" i="1"/>
  <c r="AB227" i="1" s="1"/>
  <c r="X227" i="1"/>
  <c r="Z227" i="1"/>
  <c r="AA229" i="1"/>
  <c r="AB229" i="1" s="1"/>
  <c r="X229" i="1"/>
  <c r="Z229" i="1"/>
  <c r="AA231" i="1"/>
  <c r="AB231" i="1" s="1"/>
  <c r="X231" i="1"/>
  <c r="Z231" i="1"/>
  <c r="AA233" i="1"/>
  <c r="AB233" i="1" s="1"/>
  <c r="X233" i="1"/>
  <c r="Z233" i="1"/>
  <c r="AA72" i="1"/>
  <c r="AB72" i="1" s="1"/>
  <c r="X72" i="1"/>
  <c r="Z72" i="1"/>
  <c r="AA74" i="1"/>
  <c r="AB74" i="1" s="1"/>
  <c r="X74" i="1"/>
  <c r="Z74" i="1"/>
  <c r="AA76" i="1"/>
  <c r="AB76" i="1" s="1"/>
  <c r="X76" i="1"/>
  <c r="Z76" i="1"/>
  <c r="AA78" i="1"/>
  <c r="AB78" i="1" s="1"/>
  <c r="X78" i="1"/>
  <c r="Z78" i="1"/>
  <c r="AA80" i="1"/>
  <c r="AB80" i="1" s="1"/>
  <c r="X80" i="1"/>
  <c r="Z80" i="1"/>
  <c r="AA92" i="1"/>
  <c r="AB92" i="1" s="1"/>
  <c r="X92" i="1"/>
  <c r="Z92" i="1"/>
  <c r="AA94" i="1"/>
  <c r="AB94" i="1" s="1"/>
  <c r="X94" i="1"/>
  <c r="Z94" i="1"/>
  <c r="AA96" i="1"/>
  <c r="AB96" i="1" s="1"/>
  <c r="X96" i="1"/>
  <c r="Z96" i="1"/>
  <c r="AA98" i="1"/>
  <c r="AB98" i="1" s="1"/>
  <c r="X98" i="1"/>
  <c r="Z98" i="1"/>
  <c r="AA100" i="1"/>
  <c r="AB100" i="1" s="1"/>
  <c r="X100" i="1"/>
  <c r="Z100" i="1"/>
  <c r="AA102" i="1"/>
  <c r="AB102" i="1" s="1"/>
  <c r="X102" i="1"/>
  <c r="Z102" i="1"/>
  <c r="AA104" i="1"/>
  <c r="AB104" i="1" s="1"/>
  <c r="X104" i="1"/>
  <c r="Z104" i="1"/>
  <c r="AA3" i="1"/>
  <c r="AB3" i="1" s="1"/>
  <c r="X3" i="1"/>
  <c r="Z3" i="1"/>
  <c r="AA5" i="1"/>
  <c r="AB5" i="1" s="1"/>
  <c r="X5" i="1"/>
  <c r="Z5" i="1"/>
  <c r="AA7" i="1"/>
  <c r="AB7" i="1" s="1"/>
  <c r="X7" i="1"/>
  <c r="Z7" i="1"/>
  <c r="AA9" i="1"/>
  <c r="AB9" i="1" s="1"/>
  <c r="X9" i="1"/>
  <c r="Z9" i="1"/>
  <c r="AA11" i="1"/>
  <c r="AB11" i="1" s="1"/>
  <c r="X11" i="1"/>
  <c r="Z11" i="1"/>
  <c r="AA13" i="1"/>
  <c r="AB13" i="1" s="1"/>
  <c r="X13" i="1"/>
  <c r="Z13" i="1"/>
  <c r="AA15" i="1"/>
  <c r="AB15" i="1" s="1"/>
  <c r="X15" i="1"/>
  <c r="Z15" i="1"/>
  <c r="AA17" i="1"/>
  <c r="AB17" i="1" s="1"/>
  <c r="X17" i="1"/>
  <c r="Z17" i="1"/>
  <c r="AA19" i="1"/>
  <c r="AB19" i="1" s="1"/>
  <c r="X19" i="1"/>
  <c r="Z19" i="1"/>
  <c r="AA21" i="1"/>
  <c r="AB21" i="1" s="1"/>
  <c r="X21" i="1"/>
  <c r="Z21" i="1"/>
  <c r="AA23" i="1"/>
  <c r="AB23" i="1" s="1"/>
  <c r="X23" i="1"/>
  <c r="Z23" i="1"/>
  <c r="AA25" i="1"/>
  <c r="AB25" i="1" s="1"/>
  <c r="X25" i="1"/>
  <c r="Z25" i="1"/>
  <c r="AA27" i="1"/>
  <c r="AB27" i="1" s="1"/>
  <c r="X27" i="1"/>
  <c r="Z27" i="1"/>
  <c r="AA29" i="1"/>
  <c r="AB29" i="1" s="1"/>
  <c r="X29" i="1"/>
  <c r="Z29" i="1"/>
  <c r="AA31" i="1"/>
  <c r="AB31" i="1" s="1"/>
  <c r="X31" i="1"/>
  <c r="Z31" i="1"/>
  <c r="AA33" i="1"/>
  <c r="AB33" i="1" s="1"/>
  <c r="X33" i="1"/>
  <c r="Z33" i="1"/>
  <c r="AA35" i="1"/>
  <c r="AB35" i="1" s="1"/>
  <c r="X35" i="1"/>
  <c r="Z35" i="1"/>
  <c r="AA37" i="1"/>
  <c r="AB37" i="1" s="1"/>
  <c r="X37" i="1"/>
  <c r="Z37" i="1"/>
  <c r="AA39" i="1"/>
  <c r="AB39" i="1" s="1"/>
  <c r="X39" i="1"/>
  <c r="Z39" i="1"/>
  <c r="AA41" i="1"/>
  <c r="AB41" i="1" s="1"/>
  <c r="X41" i="1"/>
  <c r="Z41" i="1"/>
  <c r="AA43" i="1"/>
  <c r="AB43" i="1" s="1"/>
  <c r="X43" i="1"/>
  <c r="Z43" i="1"/>
  <c r="AA45" i="1"/>
  <c r="AB45" i="1" s="1"/>
  <c r="X45" i="1"/>
  <c r="Z45" i="1"/>
  <c r="AA47" i="1"/>
  <c r="AB47" i="1" s="1"/>
  <c r="X47" i="1"/>
  <c r="Z47" i="1"/>
  <c r="AA49" i="1"/>
  <c r="AB49" i="1" s="1"/>
  <c r="X49" i="1"/>
  <c r="Z49" i="1"/>
  <c r="AA51" i="1"/>
  <c r="AB51" i="1" s="1"/>
  <c r="X51" i="1"/>
  <c r="Z51" i="1"/>
  <c r="AA53" i="1"/>
  <c r="AB53" i="1" s="1"/>
  <c r="X53" i="1"/>
  <c r="Z53" i="1"/>
  <c r="AA55" i="1"/>
  <c r="AB55" i="1" s="1"/>
  <c r="X55" i="1"/>
  <c r="Z55" i="1"/>
  <c r="AA57" i="1"/>
  <c r="AB57" i="1" s="1"/>
  <c r="X57" i="1"/>
  <c r="Z57" i="1"/>
  <c r="AA59" i="1"/>
  <c r="AB59" i="1" s="1"/>
  <c r="X59" i="1"/>
  <c r="Z59" i="1"/>
  <c r="AA61" i="1"/>
  <c r="AB61" i="1" s="1"/>
  <c r="X61" i="1"/>
  <c r="Z61" i="1"/>
  <c r="X63" i="1"/>
  <c r="Z63" i="1"/>
  <c r="X65" i="1"/>
  <c r="Z65" i="1"/>
  <c r="X67" i="1"/>
  <c r="Z67" i="1"/>
  <c r="X69" i="1"/>
  <c r="Z69" i="1"/>
  <c r="AA82" i="1"/>
  <c r="AB82" i="1" s="1"/>
  <c r="X82" i="1"/>
  <c r="Z82" i="1"/>
  <c r="AA84" i="1"/>
  <c r="AB84" i="1" s="1"/>
  <c r="X84" i="1"/>
  <c r="Z84" i="1"/>
  <c r="AA86" i="1"/>
  <c r="AB86" i="1" s="1"/>
  <c r="X86" i="1"/>
  <c r="Z86" i="1"/>
  <c r="AA88" i="1"/>
  <c r="AB88" i="1" s="1"/>
  <c r="X88" i="1"/>
  <c r="Z88" i="1"/>
  <c r="AA90" i="1"/>
  <c r="AB90" i="1" s="1"/>
  <c r="X90" i="1"/>
  <c r="Z90" i="1"/>
  <c r="AA106" i="1"/>
  <c r="AB106" i="1" s="1"/>
  <c r="X106" i="1"/>
  <c r="Z106" i="1"/>
  <c r="AA108" i="1"/>
  <c r="AB108" i="1" s="1"/>
  <c r="X108" i="1"/>
  <c r="Z108" i="1"/>
  <c r="AA110" i="1"/>
  <c r="AB110" i="1" s="1"/>
  <c r="X110" i="1"/>
  <c r="Z110" i="1"/>
  <c r="AA112" i="1"/>
  <c r="AB112" i="1" s="1"/>
  <c r="X112" i="1"/>
  <c r="Z112" i="1"/>
  <c r="AA114" i="1"/>
  <c r="AB114" i="1" s="1"/>
  <c r="X114" i="1"/>
  <c r="Z114" i="1"/>
  <c r="AA116" i="1"/>
  <c r="AB116" i="1" s="1"/>
  <c r="X116" i="1"/>
  <c r="Z116" i="1"/>
  <c r="AA118" i="1"/>
  <c r="AB118" i="1" s="1"/>
  <c r="X118" i="1"/>
  <c r="Z118" i="1"/>
  <c r="AA120" i="1"/>
  <c r="AB120" i="1" s="1"/>
  <c r="X120" i="1"/>
  <c r="Z120" i="1"/>
  <c r="AA122" i="1"/>
  <c r="AB122" i="1" s="1"/>
  <c r="X122" i="1"/>
  <c r="Z122" i="1"/>
  <c r="AA124" i="1"/>
  <c r="AB124" i="1" s="1"/>
  <c r="X124" i="1"/>
  <c r="Z124" i="1"/>
  <c r="AA126" i="1"/>
  <c r="AB126" i="1" s="1"/>
  <c r="X126" i="1"/>
  <c r="Z126" i="1"/>
  <c r="AA128" i="1"/>
  <c r="AB128" i="1" s="1"/>
  <c r="X128" i="1"/>
  <c r="Z128" i="1"/>
  <c r="AA130" i="1"/>
  <c r="AB130" i="1" s="1"/>
  <c r="X130" i="1"/>
  <c r="Z130" i="1"/>
  <c r="AA132" i="1"/>
  <c r="AB132" i="1" s="1"/>
  <c r="X132" i="1"/>
  <c r="Z132" i="1"/>
  <c r="AA134" i="1"/>
  <c r="AB134" i="1" s="1"/>
  <c r="X134" i="1"/>
  <c r="Z134" i="1"/>
  <c r="AA136" i="1"/>
  <c r="AB136" i="1" s="1"/>
  <c r="X136" i="1"/>
  <c r="Z136" i="1"/>
  <c r="AA138" i="1"/>
  <c r="AB138" i="1" s="1"/>
  <c r="X138" i="1"/>
  <c r="Z138" i="1"/>
  <c r="AA148" i="1"/>
  <c r="AB148" i="1" s="1"/>
  <c r="X148" i="1"/>
  <c r="Z148" i="1"/>
  <c r="AA150" i="1"/>
  <c r="AB150" i="1" s="1"/>
  <c r="X150" i="1"/>
  <c r="Z150" i="1"/>
  <c r="AA154" i="1"/>
  <c r="AB154" i="1" s="1"/>
  <c r="X154" i="1"/>
  <c r="Z154" i="1"/>
  <c r="AA156" i="1"/>
  <c r="AB156" i="1" s="1"/>
  <c r="X156" i="1"/>
  <c r="Z156" i="1"/>
  <c r="AA158" i="1"/>
  <c r="AB158" i="1" s="1"/>
  <c r="X158" i="1"/>
  <c r="Z158" i="1"/>
  <c r="AA160" i="1"/>
  <c r="AB160" i="1" s="1"/>
  <c r="X160" i="1"/>
  <c r="Z160" i="1"/>
  <c r="AA162" i="1"/>
  <c r="AB162" i="1" s="1"/>
  <c r="X162" i="1"/>
  <c r="Z162" i="1"/>
  <c r="AA164" i="1"/>
  <c r="AB164" i="1" s="1"/>
  <c r="X164" i="1"/>
  <c r="Z164" i="1"/>
  <c r="AA168" i="1"/>
  <c r="AB168" i="1" s="1"/>
  <c r="X168" i="1"/>
  <c r="Z168" i="1"/>
  <c r="AA170" i="1"/>
  <c r="AB170" i="1" s="1"/>
  <c r="X170" i="1"/>
  <c r="Z170" i="1"/>
  <c r="AA172" i="1"/>
  <c r="AB172" i="1" s="1"/>
  <c r="X172" i="1"/>
  <c r="Z172" i="1"/>
  <c r="AA174" i="1"/>
  <c r="AB174" i="1" s="1"/>
  <c r="X174" i="1"/>
  <c r="Z174" i="1"/>
  <c r="AA176" i="1"/>
  <c r="AB176" i="1" s="1"/>
  <c r="X176" i="1"/>
  <c r="Z176" i="1"/>
  <c r="AA178" i="1"/>
  <c r="AB178" i="1" s="1"/>
  <c r="X178" i="1"/>
  <c r="Z178" i="1"/>
  <c r="AA180" i="1"/>
  <c r="AB180" i="1" s="1"/>
  <c r="X180" i="1"/>
  <c r="Z180" i="1"/>
  <c r="AA182" i="1"/>
  <c r="AB182" i="1" s="1"/>
  <c r="X182" i="1"/>
  <c r="Z182" i="1"/>
  <c r="AA184" i="1"/>
  <c r="AB184" i="1" s="1"/>
  <c r="X184" i="1"/>
  <c r="Z184" i="1"/>
  <c r="AA186" i="1"/>
  <c r="AB186" i="1" s="1"/>
  <c r="X186" i="1"/>
  <c r="Z186" i="1"/>
  <c r="AA188" i="1"/>
  <c r="AB188" i="1" s="1"/>
  <c r="X188" i="1"/>
  <c r="Z188" i="1"/>
  <c r="AA190" i="1"/>
  <c r="AB190" i="1" s="1"/>
  <c r="X190" i="1"/>
  <c r="Z190" i="1"/>
  <c r="AA192" i="1"/>
  <c r="AB192" i="1" s="1"/>
  <c r="X192" i="1"/>
  <c r="Z192" i="1"/>
  <c r="AA194" i="1"/>
  <c r="AB194" i="1" s="1"/>
  <c r="X194" i="1"/>
  <c r="Z194" i="1"/>
  <c r="AA196" i="1"/>
  <c r="AB196" i="1" s="1"/>
  <c r="X196" i="1"/>
  <c r="Z196" i="1"/>
  <c r="AA198" i="1"/>
  <c r="AB198" i="1" s="1"/>
  <c r="X198" i="1"/>
  <c r="Z198" i="1"/>
  <c r="AA200" i="1"/>
  <c r="AB200" i="1" s="1"/>
  <c r="X200" i="1"/>
  <c r="Z200" i="1"/>
  <c r="AA202" i="1"/>
  <c r="AB202" i="1" s="1"/>
  <c r="X202" i="1"/>
  <c r="Z202" i="1"/>
  <c r="AA204" i="1"/>
  <c r="AB204" i="1" s="1"/>
  <c r="X204" i="1"/>
  <c r="Z204" i="1"/>
  <c r="AA206" i="1"/>
  <c r="AB206" i="1" s="1"/>
  <c r="X206" i="1"/>
  <c r="Z206" i="1"/>
  <c r="AA208" i="1"/>
  <c r="AB208" i="1" s="1"/>
  <c r="X208" i="1"/>
  <c r="Z208" i="1"/>
  <c r="AA210" i="1"/>
  <c r="AB210" i="1" s="1"/>
  <c r="X210" i="1"/>
  <c r="Z210" i="1"/>
  <c r="AA212" i="1"/>
  <c r="AB212" i="1" s="1"/>
  <c r="X212" i="1"/>
  <c r="Z212" i="1"/>
  <c r="AA214" i="1"/>
  <c r="AB214" i="1" s="1"/>
  <c r="X214" i="1"/>
  <c r="Z214" i="1"/>
  <c r="AA216" i="1"/>
  <c r="AB216" i="1" s="1"/>
  <c r="X216" i="1"/>
  <c r="Z216" i="1"/>
  <c r="AA218" i="1"/>
  <c r="AB218" i="1" s="1"/>
  <c r="X218" i="1"/>
  <c r="Z218" i="1"/>
  <c r="AA220" i="1"/>
  <c r="AB220" i="1" s="1"/>
  <c r="X220" i="1"/>
  <c r="Z220" i="1"/>
  <c r="AA222" i="1"/>
  <c r="AB222" i="1" s="1"/>
  <c r="X222" i="1"/>
  <c r="Z222" i="1"/>
  <c r="AA224" i="1"/>
  <c r="AB224" i="1" s="1"/>
  <c r="X224" i="1"/>
  <c r="Z224" i="1"/>
  <c r="AA226" i="1"/>
  <c r="AB226" i="1" s="1"/>
  <c r="X226" i="1"/>
  <c r="Z226" i="1"/>
  <c r="AA228" i="1"/>
  <c r="AB228" i="1" s="1"/>
  <c r="X228" i="1"/>
  <c r="Z228" i="1"/>
  <c r="AA230" i="1"/>
  <c r="AB230" i="1" s="1"/>
  <c r="X230" i="1"/>
  <c r="Z230" i="1"/>
  <c r="AA232" i="1"/>
  <c r="AB232" i="1" s="1"/>
  <c r="X232" i="1"/>
  <c r="Z232" i="1"/>
  <c r="AA234" i="1"/>
  <c r="AB234" i="1" s="1"/>
  <c r="X234" i="1"/>
  <c r="Z234" i="1"/>
  <c r="X71" i="1"/>
  <c r="Z71" i="1"/>
  <c r="X73" i="1"/>
  <c r="Z73" i="1"/>
  <c r="X75" i="1"/>
  <c r="Z75" i="1"/>
  <c r="X77" i="1"/>
  <c r="Z77" i="1"/>
  <c r="X79" i="1"/>
  <c r="Z79" i="1"/>
  <c r="X81" i="1"/>
  <c r="Z81" i="1"/>
  <c r="X93" i="1"/>
  <c r="Z93" i="1"/>
  <c r="X95" i="1"/>
  <c r="Z95" i="1"/>
  <c r="X97" i="1"/>
  <c r="Z97" i="1"/>
  <c r="X99" i="1"/>
  <c r="Z99" i="1"/>
  <c r="X101" i="1"/>
  <c r="Z101" i="1"/>
  <c r="X103" i="1"/>
  <c r="Z103" i="1"/>
  <c r="X105" i="1"/>
  <c r="Z105" i="1"/>
  <c r="AA139" i="1"/>
  <c r="AB139" i="1" s="1"/>
  <c r="AA141" i="1"/>
  <c r="AB141" i="1" s="1"/>
  <c r="AA143" i="1"/>
  <c r="AB143" i="1" s="1"/>
  <c r="AA145" i="1"/>
  <c r="AB145" i="1" s="1"/>
  <c r="AA151" i="1"/>
  <c r="AB151" i="1" s="1"/>
  <c r="AA153" i="1"/>
  <c r="AB153" i="1" s="1"/>
  <c r="AA165" i="1"/>
  <c r="AB165" i="1" s="1"/>
  <c r="AA167" i="1"/>
  <c r="AB167" i="1" s="1"/>
  <c r="AA140" i="1"/>
  <c r="AB140" i="1" s="1"/>
  <c r="AA142" i="1"/>
  <c r="AB142" i="1" s="1"/>
  <c r="AA144" i="1"/>
  <c r="AB144" i="1" s="1"/>
  <c r="AA146" i="1"/>
  <c r="AB146" i="1" s="1"/>
  <c r="AA152" i="1"/>
  <c r="AB152" i="1" s="1"/>
  <c r="AA166" i="1"/>
  <c r="AB166" i="1" s="1"/>
  <c r="AA2" i="1"/>
  <c r="AB2" i="1" s="1"/>
  <c r="AA4" i="1"/>
  <c r="AB4" i="1" s="1"/>
  <c r="AA6" i="1"/>
  <c r="AB6" i="1" s="1"/>
  <c r="AA8" i="1"/>
  <c r="AB8" i="1" s="1"/>
  <c r="AA10" i="1"/>
  <c r="AB10" i="1" s="1"/>
  <c r="AA12" i="1"/>
  <c r="AB12" i="1" s="1"/>
  <c r="AA14" i="1"/>
  <c r="AB14" i="1" s="1"/>
  <c r="AA16" i="1"/>
  <c r="AB16" i="1" s="1"/>
  <c r="AA18" i="1"/>
  <c r="AB18" i="1" s="1"/>
  <c r="AA20" i="1"/>
  <c r="AB20" i="1" s="1"/>
  <c r="AA22" i="1"/>
  <c r="AB22" i="1" s="1"/>
  <c r="AA24" i="1"/>
  <c r="AB24" i="1" s="1"/>
  <c r="AA26" i="1"/>
  <c r="AB26" i="1" s="1"/>
  <c r="AA28" i="1"/>
  <c r="AB28" i="1" s="1"/>
  <c r="AA30" i="1"/>
  <c r="AB30" i="1" s="1"/>
  <c r="AA32" i="1"/>
  <c r="AB32" i="1" s="1"/>
  <c r="AA34" i="1"/>
  <c r="AB34" i="1" s="1"/>
  <c r="AA36" i="1"/>
  <c r="AB36" i="1" s="1"/>
  <c r="AA38" i="1"/>
  <c r="AB38" i="1" s="1"/>
  <c r="AA40" i="1"/>
  <c r="AB40" i="1" s="1"/>
  <c r="AA42" i="1"/>
  <c r="AB42" i="1" s="1"/>
  <c r="AA44" i="1"/>
  <c r="AB44" i="1" s="1"/>
  <c r="AA46" i="1"/>
  <c r="AB46" i="1" s="1"/>
  <c r="AA48" i="1"/>
  <c r="AB48" i="1" s="1"/>
  <c r="AA50" i="1"/>
  <c r="AB50" i="1" s="1"/>
  <c r="AA52" i="1"/>
  <c r="AB52" i="1" s="1"/>
  <c r="AA54" i="1"/>
  <c r="AB54" i="1" s="1"/>
  <c r="AA56" i="1"/>
  <c r="AB56" i="1" s="1"/>
  <c r="AA58" i="1"/>
  <c r="AB58" i="1" s="1"/>
  <c r="AA63" i="1"/>
  <c r="AA67" i="1"/>
  <c r="AB67" i="1" s="1"/>
  <c r="AA65" i="1"/>
  <c r="AB65" i="1" s="1"/>
  <c r="AA69" i="1"/>
  <c r="AB69" i="1" s="1"/>
  <c r="AB77" i="1"/>
  <c r="AB75" i="1"/>
  <c r="AB73" i="1"/>
  <c r="AB71" i="1"/>
  <c r="AB63" i="1"/>
  <c r="J5" i="13"/>
  <c r="L5" i="13"/>
  <c r="N5" i="13"/>
  <c r="Q5" i="13"/>
  <c r="Q20" i="13"/>
  <c r="J20" i="13"/>
  <c r="C20" i="13"/>
  <c r="O10" i="12" l="1"/>
  <c r="N10" i="12"/>
  <c r="M10" i="12"/>
  <c r="L10" i="12"/>
  <c r="K10" i="12"/>
  <c r="J10" i="12"/>
  <c r="H10" i="12"/>
  <c r="G10" i="12"/>
  <c r="F10" i="12"/>
  <c r="E10" i="12"/>
  <c r="O8" i="12"/>
  <c r="N8" i="12"/>
  <c r="M8" i="12"/>
  <c r="L8" i="12"/>
  <c r="K8" i="12"/>
  <c r="J8" i="12"/>
  <c r="I8" i="12"/>
  <c r="H8" i="12"/>
  <c r="G8" i="12"/>
  <c r="F8" i="12"/>
  <c r="E8" i="12"/>
  <c r="D10" i="12"/>
  <c r="P10" i="12" s="1"/>
  <c r="D8" i="12"/>
  <c r="P8" i="12" s="1"/>
  <c r="O6" i="12"/>
  <c r="N6" i="12"/>
  <c r="M6" i="12"/>
  <c r="L6" i="12"/>
  <c r="K6" i="12"/>
  <c r="J6" i="12"/>
  <c r="I6" i="12"/>
  <c r="H6" i="12"/>
  <c r="G6" i="12"/>
  <c r="F6" i="12"/>
  <c r="E6" i="12"/>
  <c r="D6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P11" i="12" s="1"/>
  <c r="P6" i="12" l="1"/>
  <c r="O9" i="12"/>
  <c r="N9" i="12"/>
  <c r="M9" i="12"/>
  <c r="L9" i="12"/>
  <c r="K9" i="12"/>
  <c r="J9" i="12"/>
  <c r="I9" i="12"/>
  <c r="H9" i="12"/>
  <c r="G9" i="12"/>
  <c r="F9" i="12"/>
  <c r="E9" i="12"/>
  <c r="D9" i="12"/>
  <c r="O7" i="12"/>
  <c r="N7" i="12"/>
  <c r="M7" i="12"/>
  <c r="L7" i="12"/>
  <c r="K7" i="12"/>
  <c r="J7" i="12"/>
  <c r="I7" i="12"/>
  <c r="H7" i="12"/>
  <c r="G7" i="12"/>
  <c r="F7" i="12"/>
  <c r="E7" i="12"/>
  <c r="D7" i="12"/>
  <c r="DH3" i="1"/>
  <c r="DI297" i="1"/>
  <c r="DH297" i="1"/>
  <c r="DG297" i="1"/>
  <c r="DI296" i="1"/>
  <c r="DH296" i="1"/>
  <c r="DG296" i="1"/>
  <c r="DI295" i="1"/>
  <c r="DH295" i="1"/>
  <c r="DG295" i="1"/>
  <c r="DI294" i="1"/>
  <c r="DH294" i="1"/>
  <c r="DG294" i="1"/>
  <c r="DI293" i="1"/>
  <c r="DH293" i="1"/>
  <c r="DG293" i="1"/>
  <c r="DI292" i="1"/>
  <c r="DH292" i="1"/>
  <c r="DG292" i="1"/>
  <c r="DI291" i="1"/>
  <c r="DH291" i="1"/>
  <c r="DG291" i="1"/>
  <c r="DI290" i="1"/>
  <c r="DH290" i="1"/>
  <c r="DG290" i="1"/>
  <c r="DI289" i="1"/>
  <c r="DH289" i="1"/>
  <c r="DG289" i="1"/>
  <c r="DI288" i="1"/>
  <c r="DH288" i="1"/>
  <c r="DG288" i="1"/>
  <c r="DI287" i="1"/>
  <c r="DH287" i="1"/>
  <c r="DG287" i="1"/>
  <c r="DI286" i="1"/>
  <c r="DH286" i="1"/>
  <c r="DG286" i="1"/>
  <c r="DI285" i="1"/>
  <c r="DH285" i="1"/>
  <c r="DG285" i="1"/>
  <c r="DI284" i="1"/>
  <c r="DH284" i="1"/>
  <c r="DG284" i="1"/>
  <c r="DI283" i="1"/>
  <c r="DH283" i="1"/>
  <c r="DG283" i="1"/>
  <c r="DI282" i="1"/>
  <c r="DH282" i="1"/>
  <c r="DG282" i="1"/>
  <c r="DI281" i="1"/>
  <c r="DH281" i="1"/>
  <c r="DG281" i="1"/>
  <c r="DI280" i="1"/>
  <c r="DH280" i="1"/>
  <c r="DG280" i="1"/>
  <c r="DI279" i="1"/>
  <c r="DH279" i="1"/>
  <c r="DG279" i="1"/>
  <c r="DI278" i="1"/>
  <c r="DH278" i="1"/>
  <c r="DG278" i="1"/>
  <c r="DI277" i="1"/>
  <c r="DH277" i="1"/>
  <c r="DG277" i="1"/>
  <c r="DI276" i="1"/>
  <c r="DH276" i="1"/>
  <c r="DG276" i="1"/>
  <c r="DI275" i="1"/>
  <c r="DH275" i="1"/>
  <c r="DG275" i="1"/>
  <c r="DI274" i="1"/>
  <c r="DH274" i="1"/>
  <c r="DG274" i="1"/>
  <c r="DI273" i="1"/>
  <c r="DH273" i="1"/>
  <c r="DG273" i="1"/>
  <c r="DI272" i="1"/>
  <c r="DH272" i="1"/>
  <c r="DG272" i="1"/>
  <c r="DI271" i="1"/>
  <c r="DH271" i="1"/>
  <c r="DG271" i="1"/>
  <c r="DI270" i="1"/>
  <c r="DH270" i="1"/>
  <c r="DG270" i="1"/>
  <c r="DI269" i="1"/>
  <c r="DH269" i="1"/>
  <c r="DG269" i="1"/>
  <c r="DI268" i="1"/>
  <c r="DH268" i="1"/>
  <c r="DG268" i="1"/>
  <c r="DI267" i="1"/>
  <c r="DH267" i="1"/>
  <c r="DG267" i="1"/>
  <c r="DI266" i="1"/>
  <c r="DH266" i="1"/>
  <c r="DG266" i="1"/>
  <c r="DI265" i="1"/>
  <c r="DH265" i="1"/>
  <c r="DG265" i="1"/>
  <c r="DI264" i="1"/>
  <c r="DH264" i="1"/>
  <c r="DG264" i="1"/>
  <c r="DI263" i="1"/>
  <c r="DH263" i="1"/>
  <c r="DG263" i="1"/>
  <c r="DI262" i="1"/>
  <c r="DH262" i="1"/>
  <c r="DG262" i="1"/>
  <c r="DI261" i="1"/>
  <c r="DH261" i="1"/>
  <c r="DG261" i="1"/>
  <c r="DI260" i="1"/>
  <c r="DH260" i="1"/>
  <c r="DG260" i="1"/>
  <c r="DI259" i="1"/>
  <c r="DH259" i="1"/>
  <c r="DG259" i="1"/>
  <c r="DI258" i="1"/>
  <c r="DH258" i="1"/>
  <c r="DG258" i="1"/>
  <c r="DI257" i="1"/>
  <c r="DH257" i="1"/>
  <c r="DG257" i="1"/>
  <c r="DI256" i="1"/>
  <c r="DH256" i="1"/>
  <c r="DG256" i="1"/>
  <c r="DI255" i="1"/>
  <c r="DH255" i="1"/>
  <c r="DG255" i="1"/>
  <c r="DI254" i="1"/>
  <c r="DH254" i="1"/>
  <c r="DG254" i="1"/>
  <c r="DI253" i="1"/>
  <c r="DH253" i="1"/>
  <c r="DG253" i="1"/>
  <c r="DI252" i="1"/>
  <c r="DH252" i="1"/>
  <c r="DG252" i="1"/>
  <c r="DI251" i="1"/>
  <c r="DH251" i="1"/>
  <c r="DG251" i="1"/>
  <c r="DI250" i="1"/>
  <c r="DH250" i="1"/>
  <c r="DG250" i="1"/>
  <c r="DI249" i="1"/>
  <c r="DH249" i="1"/>
  <c r="DG249" i="1"/>
  <c r="DI248" i="1"/>
  <c r="DH248" i="1"/>
  <c r="DG248" i="1"/>
  <c r="DI247" i="1"/>
  <c r="DH247" i="1"/>
  <c r="DG247" i="1"/>
  <c r="DI246" i="1"/>
  <c r="DH246" i="1"/>
  <c r="DG246" i="1"/>
  <c r="DI245" i="1"/>
  <c r="DH245" i="1"/>
  <c r="DG245" i="1"/>
  <c r="DI244" i="1"/>
  <c r="DH244" i="1"/>
  <c r="DG244" i="1"/>
  <c r="DI243" i="1"/>
  <c r="DH243" i="1"/>
  <c r="DG243" i="1"/>
  <c r="DI242" i="1"/>
  <c r="DH242" i="1"/>
  <c r="DG242" i="1"/>
  <c r="DI241" i="1"/>
  <c r="DH241" i="1"/>
  <c r="DG241" i="1"/>
  <c r="DI240" i="1"/>
  <c r="DH240" i="1"/>
  <c r="DG240" i="1"/>
  <c r="DI239" i="1"/>
  <c r="DH239" i="1"/>
  <c r="DG239" i="1"/>
  <c r="DI238" i="1"/>
  <c r="DH238" i="1"/>
  <c r="DG238" i="1"/>
  <c r="DI237" i="1"/>
  <c r="DH237" i="1"/>
  <c r="DG237" i="1"/>
  <c r="DI236" i="1"/>
  <c r="DH236" i="1"/>
  <c r="DG236" i="1"/>
  <c r="DI235" i="1"/>
  <c r="DH235" i="1"/>
  <c r="DG235" i="1"/>
  <c r="DI234" i="1"/>
  <c r="DH234" i="1"/>
  <c r="DG234" i="1"/>
  <c r="DI233" i="1"/>
  <c r="DH233" i="1"/>
  <c r="DG233" i="1"/>
  <c r="DI232" i="1"/>
  <c r="DH232" i="1"/>
  <c r="DG232" i="1"/>
  <c r="DI231" i="1"/>
  <c r="DH231" i="1"/>
  <c r="DG231" i="1"/>
  <c r="DI230" i="1"/>
  <c r="DH230" i="1"/>
  <c r="DG230" i="1"/>
  <c r="DI229" i="1"/>
  <c r="DH229" i="1"/>
  <c r="DG229" i="1"/>
  <c r="DI228" i="1"/>
  <c r="DH228" i="1"/>
  <c r="DG228" i="1"/>
  <c r="DI227" i="1"/>
  <c r="DH227" i="1"/>
  <c r="DG227" i="1"/>
  <c r="DI226" i="1"/>
  <c r="DH226" i="1"/>
  <c r="DG226" i="1"/>
  <c r="DI225" i="1"/>
  <c r="DH225" i="1"/>
  <c r="DG225" i="1"/>
  <c r="DI224" i="1"/>
  <c r="DH224" i="1"/>
  <c r="DG224" i="1"/>
  <c r="DI223" i="1"/>
  <c r="DH223" i="1"/>
  <c r="DG223" i="1"/>
  <c r="DI222" i="1"/>
  <c r="DH222" i="1"/>
  <c r="DG222" i="1"/>
  <c r="DI221" i="1"/>
  <c r="DH221" i="1"/>
  <c r="DG221" i="1"/>
  <c r="DI220" i="1"/>
  <c r="DH220" i="1"/>
  <c r="DG220" i="1"/>
  <c r="DI219" i="1"/>
  <c r="DH219" i="1"/>
  <c r="DG219" i="1"/>
  <c r="DI218" i="1"/>
  <c r="DH218" i="1"/>
  <c r="DG218" i="1"/>
  <c r="DI217" i="1"/>
  <c r="DH217" i="1"/>
  <c r="DG217" i="1"/>
  <c r="DI216" i="1"/>
  <c r="DH216" i="1"/>
  <c r="DG216" i="1"/>
  <c r="DI215" i="1"/>
  <c r="DH215" i="1"/>
  <c r="DG215" i="1"/>
  <c r="DI214" i="1"/>
  <c r="DH214" i="1"/>
  <c r="DG214" i="1"/>
  <c r="DI213" i="1"/>
  <c r="DH213" i="1"/>
  <c r="DG213" i="1"/>
  <c r="DI212" i="1"/>
  <c r="DH212" i="1"/>
  <c r="DG212" i="1"/>
  <c r="DI211" i="1"/>
  <c r="DH211" i="1"/>
  <c r="DG211" i="1"/>
  <c r="DI210" i="1"/>
  <c r="DH210" i="1"/>
  <c r="DG210" i="1"/>
  <c r="DI209" i="1"/>
  <c r="DH209" i="1"/>
  <c r="DG209" i="1"/>
  <c r="DI208" i="1"/>
  <c r="DH208" i="1"/>
  <c r="DG208" i="1"/>
  <c r="DI207" i="1"/>
  <c r="DH207" i="1"/>
  <c r="DG207" i="1"/>
  <c r="DI206" i="1"/>
  <c r="DH206" i="1"/>
  <c r="DG206" i="1"/>
  <c r="DI205" i="1"/>
  <c r="DH205" i="1"/>
  <c r="DG205" i="1"/>
  <c r="DI204" i="1"/>
  <c r="DH204" i="1"/>
  <c r="DG204" i="1"/>
  <c r="DI203" i="1"/>
  <c r="DH203" i="1"/>
  <c r="DG203" i="1"/>
  <c r="DI202" i="1"/>
  <c r="DH202" i="1"/>
  <c r="DG202" i="1"/>
  <c r="DI201" i="1"/>
  <c r="DH201" i="1"/>
  <c r="DG201" i="1"/>
  <c r="DI200" i="1"/>
  <c r="DH200" i="1"/>
  <c r="DG200" i="1"/>
  <c r="DI199" i="1"/>
  <c r="DH199" i="1"/>
  <c r="DG199" i="1"/>
  <c r="DI198" i="1"/>
  <c r="DH198" i="1"/>
  <c r="DG198" i="1"/>
  <c r="DI197" i="1"/>
  <c r="DH197" i="1"/>
  <c r="DG197" i="1"/>
  <c r="DI196" i="1"/>
  <c r="DH196" i="1"/>
  <c r="DG196" i="1"/>
  <c r="DI195" i="1"/>
  <c r="DH195" i="1"/>
  <c r="DG195" i="1"/>
  <c r="DI194" i="1"/>
  <c r="DH194" i="1"/>
  <c r="DG194" i="1"/>
  <c r="DI193" i="1"/>
  <c r="DH193" i="1"/>
  <c r="DG193" i="1"/>
  <c r="DI192" i="1"/>
  <c r="DH192" i="1"/>
  <c r="DG192" i="1"/>
  <c r="DI191" i="1"/>
  <c r="DH191" i="1"/>
  <c r="DG191" i="1"/>
  <c r="DI190" i="1"/>
  <c r="DH190" i="1"/>
  <c r="DG190" i="1"/>
  <c r="DI189" i="1"/>
  <c r="DH189" i="1"/>
  <c r="DG189" i="1"/>
  <c r="DI188" i="1"/>
  <c r="DH188" i="1"/>
  <c r="DG188" i="1"/>
  <c r="DI187" i="1"/>
  <c r="DH187" i="1"/>
  <c r="DG187" i="1"/>
  <c r="DI186" i="1"/>
  <c r="DH186" i="1"/>
  <c r="DG186" i="1"/>
  <c r="DI185" i="1"/>
  <c r="DH185" i="1"/>
  <c r="DG185" i="1"/>
  <c r="DI184" i="1"/>
  <c r="DH184" i="1"/>
  <c r="DG184" i="1"/>
  <c r="DI183" i="1"/>
  <c r="DH183" i="1"/>
  <c r="DG183" i="1"/>
  <c r="DI182" i="1"/>
  <c r="DH182" i="1"/>
  <c r="DG182" i="1"/>
  <c r="DI181" i="1"/>
  <c r="DH181" i="1"/>
  <c r="DG181" i="1"/>
  <c r="DI180" i="1"/>
  <c r="DH180" i="1"/>
  <c r="DG180" i="1"/>
  <c r="DI179" i="1"/>
  <c r="DH179" i="1"/>
  <c r="DG179" i="1"/>
  <c r="DI178" i="1"/>
  <c r="DH178" i="1"/>
  <c r="DG178" i="1"/>
  <c r="DI177" i="1"/>
  <c r="DH177" i="1"/>
  <c r="DG177" i="1"/>
  <c r="DI176" i="1"/>
  <c r="DH176" i="1"/>
  <c r="DG176" i="1"/>
  <c r="DI175" i="1"/>
  <c r="DH175" i="1"/>
  <c r="DG175" i="1"/>
  <c r="DI174" i="1"/>
  <c r="DH174" i="1"/>
  <c r="DG174" i="1"/>
  <c r="DI173" i="1"/>
  <c r="DH173" i="1"/>
  <c r="DG173" i="1"/>
  <c r="DI172" i="1"/>
  <c r="DH172" i="1"/>
  <c r="DG172" i="1"/>
  <c r="DI171" i="1"/>
  <c r="DH171" i="1"/>
  <c r="DG171" i="1"/>
  <c r="DI170" i="1"/>
  <c r="DH170" i="1"/>
  <c r="DG170" i="1"/>
  <c r="DI169" i="1"/>
  <c r="DH169" i="1"/>
  <c r="DG169" i="1"/>
  <c r="DI168" i="1"/>
  <c r="DH168" i="1"/>
  <c r="DG168" i="1"/>
  <c r="DI167" i="1"/>
  <c r="DH167" i="1"/>
  <c r="DG167" i="1"/>
  <c r="DI166" i="1"/>
  <c r="DH166" i="1"/>
  <c r="DG166" i="1"/>
  <c r="DI165" i="1"/>
  <c r="DH165" i="1"/>
  <c r="DG165" i="1"/>
  <c r="DI164" i="1"/>
  <c r="DH164" i="1"/>
  <c r="DG164" i="1"/>
  <c r="DI163" i="1"/>
  <c r="DH163" i="1"/>
  <c r="DG163" i="1"/>
  <c r="DI162" i="1"/>
  <c r="DH162" i="1"/>
  <c r="DG162" i="1"/>
  <c r="DI161" i="1"/>
  <c r="DH161" i="1"/>
  <c r="DG161" i="1"/>
  <c r="DI160" i="1"/>
  <c r="DH160" i="1"/>
  <c r="DG160" i="1"/>
  <c r="DI159" i="1"/>
  <c r="DH159" i="1"/>
  <c r="DG159" i="1"/>
  <c r="DI158" i="1"/>
  <c r="DH158" i="1"/>
  <c r="DG158" i="1"/>
  <c r="DI157" i="1"/>
  <c r="DH157" i="1"/>
  <c r="DG157" i="1"/>
  <c r="DI156" i="1"/>
  <c r="DH156" i="1"/>
  <c r="DG156" i="1"/>
  <c r="DI155" i="1"/>
  <c r="DH155" i="1"/>
  <c r="DG155" i="1"/>
  <c r="DI154" i="1"/>
  <c r="DH154" i="1"/>
  <c r="DG154" i="1"/>
  <c r="DI153" i="1"/>
  <c r="DH153" i="1"/>
  <c r="DG153" i="1"/>
  <c r="DI152" i="1"/>
  <c r="DH152" i="1"/>
  <c r="DG152" i="1"/>
  <c r="DI151" i="1"/>
  <c r="DH151" i="1"/>
  <c r="DG151" i="1"/>
  <c r="DI150" i="1"/>
  <c r="DH150" i="1"/>
  <c r="DG150" i="1"/>
  <c r="DI149" i="1"/>
  <c r="DH149" i="1"/>
  <c r="DG149" i="1"/>
  <c r="DI148" i="1"/>
  <c r="DH148" i="1"/>
  <c r="DG148" i="1"/>
  <c r="DI147" i="1"/>
  <c r="DH147" i="1"/>
  <c r="DG147" i="1"/>
  <c r="DI146" i="1"/>
  <c r="DH146" i="1"/>
  <c r="DG146" i="1"/>
  <c r="DI145" i="1"/>
  <c r="DH145" i="1"/>
  <c r="DG145" i="1"/>
  <c r="DI144" i="1"/>
  <c r="DH144" i="1"/>
  <c r="DG144" i="1"/>
  <c r="DI143" i="1"/>
  <c r="DH143" i="1"/>
  <c r="DG143" i="1"/>
  <c r="DI142" i="1"/>
  <c r="DH142" i="1"/>
  <c r="DG142" i="1"/>
  <c r="DI141" i="1"/>
  <c r="DH141" i="1"/>
  <c r="DG141" i="1"/>
  <c r="DI140" i="1"/>
  <c r="DH140" i="1"/>
  <c r="DG140" i="1"/>
  <c r="DI139" i="1"/>
  <c r="DH139" i="1"/>
  <c r="DG139" i="1"/>
  <c r="DI138" i="1"/>
  <c r="DH138" i="1"/>
  <c r="DG138" i="1"/>
  <c r="DI137" i="1"/>
  <c r="DH137" i="1"/>
  <c r="DG137" i="1"/>
  <c r="DI136" i="1"/>
  <c r="DH136" i="1"/>
  <c r="DG136" i="1"/>
  <c r="DI135" i="1"/>
  <c r="DH135" i="1"/>
  <c r="DG135" i="1"/>
  <c r="DI134" i="1"/>
  <c r="DH134" i="1"/>
  <c r="DG134" i="1"/>
  <c r="DI133" i="1"/>
  <c r="DH133" i="1"/>
  <c r="DG133" i="1"/>
  <c r="DI132" i="1"/>
  <c r="DH132" i="1"/>
  <c r="DG132" i="1"/>
  <c r="DI131" i="1"/>
  <c r="DH131" i="1"/>
  <c r="DG131" i="1"/>
  <c r="DI130" i="1"/>
  <c r="DH130" i="1"/>
  <c r="DG130" i="1"/>
  <c r="DI129" i="1"/>
  <c r="DH129" i="1"/>
  <c r="DG129" i="1"/>
  <c r="DI128" i="1"/>
  <c r="DH128" i="1"/>
  <c r="DG128" i="1"/>
  <c r="DI127" i="1"/>
  <c r="DH127" i="1"/>
  <c r="DG127" i="1"/>
  <c r="DI126" i="1"/>
  <c r="DH126" i="1"/>
  <c r="DG126" i="1"/>
  <c r="DI125" i="1"/>
  <c r="DH125" i="1"/>
  <c r="DG125" i="1"/>
  <c r="DI124" i="1"/>
  <c r="DH124" i="1"/>
  <c r="DG124" i="1"/>
  <c r="DI123" i="1"/>
  <c r="DH123" i="1"/>
  <c r="DG123" i="1"/>
  <c r="DI122" i="1"/>
  <c r="DH122" i="1"/>
  <c r="DG122" i="1"/>
  <c r="DI121" i="1"/>
  <c r="DH121" i="1"/>
  <c r="DG121" i="1"/>
  <c r="DI120" i="1"/>
  <c r="DH120" i="1"/>
  <c r="DG120" i="1"/>
  <c r="DI119" i="1"/>
  <c r="DH119" i="1"/>
  <c r="DG119" i="1"/>
  <c r="DI118" i="1"/>
  <c r="DH118" i="1"/>
  <c r="DG118" i="1"/>
  <c r="DI117" i="1"/>
  <c r="DH117" i="1"/>
  <c r="DG117" i="1"/>
  <c r="DI116" i="1"/>
  <c r="DH116" i="1"/>
  <c r="DG116" i="1"/>
  <c r="DI115" i="1"/>
  <c r="DH115" i="1"/>
  <c r="DG115" i="1"/>
  <c r="DI114" i="1"/>
  <c r="DH114" i="1"/>
  <c r="DG114" i="1"/>
  <c r="DI113" i="1"/>
  <c r="DH113" i="1"/>
  <c r="DG113" i="1"/>
  <c r="DI112" i="1"/>
  <c r="DH112" i="1"/>
  <c r="DG112" i="1"/>
  <c r="DI111" i="1"/>
  <c r="DH111" i="1"/>
  <c r="DG111" i="1"/>
  <c r="DI110" i="1"/>
  <c r="DH110" i="1"/>
  <c r="DG110" i="1"/>
  <c r="DI109" i="1"/>
  <c r="DH109" i="1"/>
  <c r="DG109" i="1"/>
  <c r="DI108" i="1"/>
  <c r="DH108" i="1"/>
  <c r="DG108" i="1"/>
  <c r="DI107" i="1"/>
  <c r="DH107" i="1"/>
  <c r="DG107" i="1"/>
  <c r="DI106" i="1"/>
  <c r="DH106" i="1"/>
  <c r="DG106" i="1"/>
  <c r="DI105" i="1"/>
  <c r="DH105" i="1"/>
  <c r="DG105" i="1"/>
  <c r="DI104" i="1"/>
  <c r="DH104" i="1"/>
  <c r="DG104" i="1"/>
  <c r="DI103" i="1"/>
  <c r="DH103" i="1"/>
  <c r="DG103" i="1"/>
  <c r="DI102" i="1"/>
  <c r="DH102" i="1"/>
  <c r="DG102" i="1"/>
  <c r="DI101" i="1"/>
  <c r="DH101" i="1"/>
  <c r="DG101" i="1"/>
  <c r="DI100" i="1"/>
  <c r="DH100" i="1"/>
  <c r="DG100" i="1"/>
  <c r="DI99" i="1"/>
  <c r="DH99" i="1"/>
  <c r="DG99" i="1"/>
  <c r="DI98" i="1"/>
  <c r="DH98" i="1"/>
  <c r="DG98" i="1"/>
  <c r="DI97" i="1"/>
  <c r="DH97" i="1"/>
  <c r="DG97" i="1"/>
  <c r="DI96" i="1"/>
  <c r="DH96" i="1"/>
  <c r="DG96" i="1"/>
  <c r="DI95" i="1"/>
  <c r="DH95" i="1"/>
  <c r="DG95" i="1"/>
  <c r="DI94" i="1"/>
  <c r="DH94" i="1"/>
  <c r="DG94" i="1"/>
  <c r="DI93" i="1"/>
  <c r="DH93" i="1"/>
  <c r="DG93" i="1"/>
  <c r="DI92" i="1"/>
  <c r="DH92" i="1"/>
  <c r="DG92" i="1"/>
  <c r="DI91" i="1"/>
  <c r="DH91" i="1"/>
  <c r="DG91" i="1"/>
  <c r="DI90" i="1"/>
  <c r="DH90" i="1"/>
  <c r="DG90" i="1"/>
  <c r="DI89" i="1"/>
  <c r="DH89" i="1"/>
  <c r="DG89" i="1"/>
  <c r="DI88" i="1"/>
  <c r="DH88" i="1"/>
  <c r="DG88" i="1"/>
  <c r="DI87" i="1"/>
  <c r="DH87" i="1"/>
  <c r="DG87" i="1"/>
  <c r="DI86" i="1"/>
  <c r="DH86" i="1"/>
  <c r="DG86" i="1"/>
  <c r="DI85" i="1"/>
  <c r="DH85" i="1"/>
  <c r="DG85" i="1"/>
  <c r="DI84" i="1"/>
  <c r="DH84" i="1"/>
  <c r="DG84" i="1"/>
  <c r="DI83" i="1"/>
  <c r="DH83" i="1"/>
  <c r="DG83" i="1"/>
  <c r="DI82" i="1"/>
  <c r="DH82" i="1"/>
  <c r="DG82" i="1"/>
  <c r="DI81" i="1"/>
  <c r="DH81" i="1"/>
  <c r="DG81" i="1"/>
  <c r="DI80" i="1"/>
  <c r="DH80" i="1"/>
  <c r="DG80" i="1"/>
  <c r="DI79" i="1"/>
  <c r="DH79" i="1"/>
  <c r="DG79" i="1"/>
  <c r="DI78" i="1"/>
  <c r="DH78" i="1"/>
  <c r="DG78" i="1"/>
  <c r="DI77" i="1"/>
  <c r="DH77" i="1"/>
  <c r="DG77" i="1"/>
  <c r="DI76" i="1"/>
  <c r="DH76" i="1"/>
  <c r="DG76" i="1"/>
  <c r="DI75" i="1"/>
  <c r="DH75" i="1"/>
  <c r="DG75" i="1"/>
  <c r="DI74" i="1"/>
  <c r="DH74" i="1"/>
  <c r="DG74" i="1"/>
  <c r="DI73" i="1"/>
  <c r="DH73" i="1"/>
  <c r="DG73" i="1"/>
  <c r="DI72" i="1"/>
  <c r="DH72" i="1"/>
  <c r="DG72" i="1"/>
  <c r="DI71" i="1"/>
  <c r="DH71" i="1"/>
  <c r="DG71" i="1"/>
  <c r="DI70" i="1"/>
  <c r="DH70" i="1"/>
  <c r="DG70" i="1"/>
  <c r="DI69" i="1"/>
  <c r="DH69" i="1"/>
  <c r="DG69" i="1"/>
  <c r="DI68" i="1"/>
  <c r="DH68" i="1"/>
  <c r="DG68" i="1"/>
  <c r="DI67" i="1"/>
  <c r="DH67" i="1"/>
  <c r="DG67" i="1"/>
  <c r="DI66" i="1"/>
  <c r="DH66" i="1"/>
  <c r="DG66" i="1"/>
  <c r="DI65" i="1"/>
  <c r="DH65" i="1"/>
  <c r="DG65" i="1"/>
  <c r="DI64" i="1"/>
  <c r="DH64" i="1"/>
  <c r="DG64" i="1"/>
  <c r="DI63" i="1"/>
  <c r="DH63" i="1"/>
  <c r="DG63" i="1"/>
  <c r="DI62" i="1"/>
  <c r="DH62" i="1"/>
  <c r="DG62" i="1"/>
  <c r="DI61" i="1"/>
  <c r="DH61" i="1"/>
  <c r="DG61" i="1"/>
  <c r="DI60" i="1"/>
  <c r="DH60" i="1"/>
  <c r="DG60" i="1"/>
  <c r="DI59" i="1"/>
  <c r="DH59" i="1"/>
  <c r="DG59" i="1"/>
  <c r="DI58" i="1"/>
  <c r="DH58" i="1"/>
  <c r="DG58" i="1"/>
  <c r="DI57" i="1"/>
  <c r="DH57" i="1"/>
  <c r="DG57" i="1"/>
  <c r="DI56" i="1"/>
  <c r="DH56" i="1"/>
  <c r="DG56" i="1"/>
  <c r="DI55" i="1"/>
  <c r="DH55" i="1"/>
  <c r="DG55" i="1"/>
  <c r="DI54" i="1"/>
  <c r="DH54" i="1"/>
  <c r="DG54" i="1"/>
  <c r="DI53" i="1"/>
  <c r="DH53" i="1"/>
  <c r="DG53" i="1"/>
  <c r="DI52" i="1"/>
  <c r="DH52" i="1"/>
  <c r="DG52" i="1"/>
  <c r="DI51" i="1"/>
  <c r="DH51" i="1"/>
  <c r="DG51" i="1"/>
  <c r="DI50" i="1"/>
  <c r="DH50" i="1"/>
  <c r="DG50" i="1"/>
  <c r="DI49" i="1"/>
  <c r="DH49" i="1"/>
  <c r="DG49" i="1"/>
  <c r="DI48" i="1"/>
  <c r="DH48" i="1"/>
  <c r="DG48" i="1"/>
  <c r="DI47" i="1"/>
  <c r="DH47" i="1"/>
  <c r="DG47" i="1"/>
  <c r="DI46" i="1"/>
  <c r="DH46" i="1"/>
  <c r="DG46" i="1"/>
  <c r="DI45" i="1"/>
  <c r="DH45" i="1"/>
  <c r="DG45" i="1"/>
  <c r="DI44" i="1"/>
  <c r="DH44" i="1"/>
  <c r="DG44" i="1"/>
  <c r="DI43" i="1"/>
  <c r="DH43" i="1"/>
  <c r="DG43" i="1"/>
  <c r="DI42" i="1"/>
  <c r="DH42" i="1"/>
  <c r="DG42" i="1"/>
  <c r="DI41" i="1"/>
  <c r="DH41" i="1"/>
  <c r="DG41" i="1"/>
  <c r="DI40" i="1"/>
  <c r="DH40" i="1"/>
  <c r="DG40" i="1"/>
  <c r="DI39" i="1"/>
  <c r="DH39" i="1"/>
  <c r="DG39" i="1"/>
  <c r="DI38" i="1"/>
  <c r="DH38" i="1"/>
  <c r="DG38" i="1"/>
  <c r="DI37" i="1"/>
  <c r="DH37" i="1"/>
  <c r="DG37" i="1"/>
  <c r="DI36" i="1"/>
  <c r="DH36" i="1"/>
  <c r="DG36" i="1"/>
  <c r="DI35" i="1"/>
  <c r="DH35" i="1"/>
  <c r="DG35" i="1"/>
  <c r="DI34" i="1"/>
  <c r="DH34" i="1"/>
  <c r="DG34" i="1"/>
  <c r="DI33" i="1"/>
  <c r="DH33" i="1"/>
  <c r="DG33" i="1"/>
  <c r="DI32" i="1"/>
  <c r="DH32" i="1"/>
  <c r="DG32" i="1"/>
  <c r="DI31" i="1"/>
  <c r="DH31" i="1"/>
  <c r="DG31" i="1"/>
  <c r="DI30" i="1"/>
  <c r="DH30" i="1"/>
  <c r="DG30" i="1"/>
  <c r="DI29" i="1"/>
  <c r="DH29" i="1"/>
  <c r="DG29" i="1"/>
  <c r="DI28" i="1"/>
  <c r="DH28" i="1"/>
  <c r="DG28" i="1"/>
  <c r="DI27" i="1"/>
  <c r="DH27" i="1"/>
  <c r="DG27" i="1"/>
  <c r="DI26" i="1"/>
  <c r="DH26" i="1"/>
  <c r="DG26" i="1"/>
  <c r="DI25" i="1"/>
  <c r="DH25" i="1"/>
  <c r="DG25" i="1"/>
  <c r="DI24" i="1"/>
  <c r="DH24" i="1"/>
  <c r="DG24" i="1"/>
  <c r="DI23" i="1"/>
  <c r="DH23" i="1"/>
  <c r="DG23" i="1"/>
  <c r="DI22" i="1"/>
  <c r="DH22" i="1"/>
  <c r="DG22" i="1"/>
  <c r="DI21" i="1"/>
  <c r="DH21" i="1"/>
  <c r="DG21" i="1"/>
  <c r="DI20" i="1"/>
  <c r="DH20" i="1"/>
  <c r="DG20" i="1"/>
  <c r="DI19" i="1"/>
  <c r="DH19" i="1"/>
  <c r="DG19" i="1"/>
  <c r="DI18" i="1"/>
  <c r="DH18" i="1"/>
  <c r="DG18" i="1"/>
  <c r="DI17" i="1"/>
  <c r="DH17" i="1"/>
  <c r="DG17" i="1"/>
  <c r="DI16" i="1"/>
  <c r="DH16" i="1"/>
  <c r="DG16" i="1"/>
  <c r="DI15" i="1"/>
  <c r="DH15" i="1"/>
  <c r="DG15" i="1"/>
  <c r="DI14" i="1"/>
  <c r="DH14" i="1"/>
  <c r="DG14" i="1"/>
  <c r="DI13" i="1"/>
  <c r="DH13" i="1"/>
  <c r="DG13" i="1"/>
  <c r="DI12" i="1"/>
  <c r="DH12" i="1"/>
  <c r="DG12" i="1"/>
  <c r="DI11" i="1"/>
  <c r="DH11" i="1"/>
  <c r="DG11" i="1"/>
  <c r="DI10" i="1"/>
  <c r="DH10" i="1"/>
  <c r="DG10" i="1"/>
  <c r="DI9" i="1"/>
  <c r="DH9" i="1"/>
  <c r="DG9" i="1"/>
  <c r="DI8" i="1"/>
  <c r="DH8" i="1"/>
  <c r="DG8" i="1"/>
  <c r="DI7" i="1"/>
  <c r="DH7" i="1"/>
  <c r="DG7" i="1"/>
  <c r="DI6" i="1"/>
  <c r="DH6" i="1"/>
  <c r="DG6" i="1"/>
  <c r="DI5" i="1"/>
  <c r="DH5" i="1"/>
  <c r="DG5" i="1"/>
  <c r="DI4" i="1"/>
  <c r="DH4" i="1"/>
  <c r="DG4" i="1"/>
  <c r="DI3" i="1"/>
  <c r="DG3" i="1"/>
  <c r="DI2" i="1"/>
  <c r="DH2" i="1"/>
  <c r="DG2" i="1"/>
  <c r="EW234" i="1"/>
  <c r="EV234" i="1"/>
  <c r="EU234" i="1"/>
  <c r="ET234" i="1"/>
  <c r="ES234" i="1"/>
  <c r="ER234" i="1"/>
  <c r="EQ234" i="1"/>
  <c r="EP234" i="1"/>
  <c r="EO234" i="1"/>
  <c r="EN234" i="1"/>
  <c r="EW233" i="1"/>
  <c r="EV233" i="1"/>
  <c r="EU233" i="1"/>
  <c r="ET233" i="1"/>
  <c r="ES233" i="1"/>
  <c r="ER233" i="1"/>
  <c r="EQ233" i="1"/>
  <c r="EP233" i="1"/>
  <c r="EO233" i="1"/>
  <c r="EN233" i="1"/>
  <c r="EW232" i="1"/>
  <c r="EV232" i="1"/>
  <c r="EU232" i="1"/>
  <c r="ET232" i="1"/>
  <c r="ES232" i="1"/>
  <c r="ER232" i="1"/>
  <c r="EQ232" i="1"/>
  <c r="EP232" i="1"/>
  <c r="EO232" i="1"/>
  <c r="EN232" i="1"/>
  <c r="EW231" i="1"/>
  <c r="EV231" i="1"/>
  <c r="EU231" i="1"/>
  <c r="ET231" i="1"/>
  <c r="ES231" i="1"/>
  <c r="ER231" i="1"/>
  <c r="EQ231" i="1"/>
  <c r="EP231" i="1"/>
  <c r="EO231" i="1"/>
  <c r="EN231" i="1"/>
  <c r="EW230" i="1"/>
  <c r="EV230" i="1"/>
  <c r="EU230" i="1"/>
  <c r="ET230" i="1"/>
  <c r="ES230" i="1"/>
  <c r="ER230" i="1"/>
  <c r="EQ230" i="1"/>
  <c r="EP230" i="1"/>
  <c r="EO230" i="1"/>
  <c r="EN230" i="1"/>
  <c r="EW229" i="1"/>
  <c r="EV229" i="1"/>
  <c r="EU229" i="1"/>
  <c r="ET229" i="1"/>
  <c r="ES229" i="1"/>
  <c r="ER229" i="1"/>
  <c r="EQ229" i="1"/>
  <c r="EP229" i="1"/>
  <c r="EO229" i="1"/>
  <c r="EN229" i="1"/>
  <c r="EW228" i="1"/>
  <c r="EV228" i="1"/>
  <c r="EU228" i="1"/>
  <c r="ET228" i="1"/>
  <c r="ES228" i="1"/>
  <c r="ER228" i="1"/>
  <c r="EQ228" i="1"/>
  <c r="EP228" i="1"/>
  <c r="EO228" i="1"/>
  <c r="EN228" i="1"/>
  <c r="EW227" i="1"/>
  <c r="EV227" i="1"/>
  <c r="EU227" i="1"/>
  <c r="ET227" i="1"/>
  <c r="ES227" i="1"/>
  <c r="ER227" i="1"/>
  <c r="EQ227" i="1"/>
  <c r="EP227" i="1"/>
  <c r="EO227" i="1"/>
  <c r="EN227" i="1"/>
  <c r="EW226" i="1"/>
  <c r="EV226" i="1"/>
  <c r="EU226" i="1"/>
  <c r="ET226" i="1"/>
  <c r="ES226" i="1"/>
  <c r="ER226" i="1"/>
  <c r="EQ226" i="1"/>
  <c r="EP226" i="1"/>
  <c r="EO226" i="1"/>
  <c r="EN226" i="1"/>
  <c r="EW225" i="1"/>
  <c r="EV225" i="1"/>
  <c r="EU225" i="1"/>
  <c r="ET225" i="1"/>
  <c r="ES225" i="1"/>
  <c r="ER225" i="1"/>
  <c r="EQ225" i="1"/>
  <c r="EP225" i="1"/>
  <c r="EO225" i="1"/>
  <c r="EN225" i="1"/>
  <c r="EW224" i="1"/>
  <c r="EV224" i="1"/>
  <c r="EU224" i="1"/>
  <c r="ET224" i="1"/>
  <c r="ES224" i="1"/>
  <c r="ER224" i="1"/>
  <c r="EQ224" i="1"/>
  <c r="EP224" i="1"/>
  <c r="EO224" i="1"/>
  <c r="EN224" i="1"/>
  <c r="EW223" i="1"/>
  <c r="EV223" i="1"/>
  <c r="EU223" i="1"/>
  <c r="ET223" i="1"/>
  <c r="ES223" i="1"/>
  <c r="ER223" i="1"/>
  <c r="EQ223" i="1"/>
  <c r="EP223" i="1"/>
  <c r="EO223" i="1"/>
  <c r="EN223" i="1"/>
  <c r="EW222" i="1"/>
  <c r="EV222" i="1"/>
  <c r="EU222" i="1"/>
  <c r="ET222" i="1"/>
  <c r="ES222" i="1"/>
  <c r="ER222" i="1"/>
  <c r="EQ222" i="1"/>
  <c r="EP222" i="1"/>
  <c r="EO222" i="1"/>
  <c r="EN222" i="1"/>
  <c r="EW221" i="1"/>
  <c r="EV221" i="1"/>
  <c r="EU221" i="1"/>
  <c r="ET221" i="1"/>
  <c r="ES221" i="1"/>
  <c r="ER221" i="1"/>
  <c r="EQ221" i="1"/>
  <c r="EP221" i="1"/>
  <c r="EO221" i="1"/>
  <c r="EN221" i="1"/>
  <c r="EW220" i="1"/>
  <c r="EV220" i="1"/>
  <c r="EU220" i="1"/>
  <c r="ET220" i="1"/>
  <c r="ES220" i="1"/>
  <c r="ER220" i="1"/>
  <c r="EQ220" i="1"/>
  <c r="EP220" i="1"/>
  <c r="EO220" i="1"/>
  <c r="EN220" i="1"/>
  <c r="EW219" i="1"/>
  <c r="EV219" i="1"/>
  <c r="EU219" i="1"/>
  <c r="ET219" i="1"/>
  <c r="ES219" i="1"/>
  <c r="ER219" i="1"/>
  <c r="EQ219" i="1"/>
  <c r="EP219" i="1"/>
  <c r="EO219" i="1"/>
  <c r="EN219" i="1"/>
  <c r="EW218" i="1"/>
  <c r="EV218" i="1"/>
  <c r="EU218" i="1"/>
  <c r="ET218" i="1"/>
  <c r="ES218" i="1"/>
  <c r="ER218" i="1"/>
  <c r="EQ218" i="1"/>
  <c r="EP218" i="1"/>
  <c r="EO218" i="1"/>
  <c r="EN218" i="1"/>
  <c r="EW217" i="1"/>
  <c r="EV217" i="1"/>
  <c r="EU217" i="1"/>
  <c r="ET217" i="1"/>
  <c r="ES217" i="1"/>
  <c r="ER217" i="1"/>
  <c r="EQ217" i="1"/>
  <c r="EP217" i="1"/>
  <c r="EO217" i="1"/>
  <c r="EN217" i="1"/>
  <c r="EW216" i="1"/>
  <c r="EV216" i="1"/>
  <c r="EU216" i="1"/>
  <c r="ET216" i="1"/>
  <c r="ES216" i="1"/>
  <c r="ER216" i="1"/>
  <c r="EQ216" i="1"/>
  <c r="EP216" i="1"/>
  <c r="EO216" i="1"/>
  <c r="EN216" i="1"/>
  <c r="EW215" i="1"/>
  <c r="EV215" i="1"/>
  <c r="EU215" i="1"/>
  <c r="ET215" i="1"/>
  <c r="ES215" i="1"/>
  <c r="ER215" i="1"/>
  <c r="EQ215" i="1"/>
  <c r="EP215" i="1"/>
  <c r="EO215" i="1"/>
  <c r="EN215" i="1"/>
  <c r="EW214" i="1"/>
  <c r="EV214" i="1"/>
  <c r="EU214" i="1"/>
  <c r="ET214" i="1"/>
  <c r="ES214" i="1"/>
  <c r="ER214" i="1"/>
  <c r="EQ214" i="1"/>
  <c r="EP214" i="1"/>
  <c r="EO214" i="1"/>
  <c r="EN214" i="1"/>
  <c r="EW213" i="1"/>
  <c r="EV213" i="1"/>
  <c r="EU213" i="1"/>
  <c r="ET213" i="1"/>
  <c r="ES213" i="1"/>
  <c r="ER213" i="1"/>
  <c r="EQ213" i="1"/>
  <c r="EP213" i="1"/>
  <c r="EO213" i="1"/>
  <c r="EN213" i="1"/>
  <c r="EW212" i="1"/>
  <c r="EV212" i="1"/>
  <c r="EU212" i="1"/>
  <c r="ET212" i="1"/>
  <c r="ES212" i="1"/>
  <c r="ER212" i="1"/>
  <c r="EQ212" i="1"/>
  <c r="EP212" i="1"/>
  <c r="EO212" i="1"/>
  <c r="EN212" i="1"/>
  <c r="EW211" i="1"/>
  <c r="EV211" i="1"/>
  <c r="EU211" i="1"/>
  <c r="ET211" i="1"/>
  <c r="ES211" i="1"/>
  <c r="ER211" i="1"/>
  <c r="EQ211" i="1"/>
  <c r="EP211" i="1"/>
  <c r="EO211" i="1"/>
  <c r="EN211" i="1"/>
  <c r="EW210" i="1"/>
  <c r="EV210" i="1"/>
  <c r="EU210" i="1"/>
  <c r="ET210" i="1"/>
  <c r="ES210" i="1"/>
  <c r="ER210" i="1"/>
  <c r="EQ210" i="1"/>
  <c r="EP210" i="1"/>
  <c r="EO210" i="1"/>
  <c r="EN210" i="1"/>
  <c r="EW209" i="1"/>
  <c r="EV209" i="1"/>
  <c r="EU209" i="1"/>
  <c r="ET209" i="1"/>
  <c r="ES209" i="1"/>
  <c r="ER209" i="1"/>
  <c r="EQ209" i="1"/>
  <c r="EP209" i="1"/>
  <c r="EO209" i="1"/>
  <c r="EN209" i="1"/>
  <c r="EW208" i="1"/>
  <c r="EV208" i="1"/>
  <c r="EU208" i="1"/>
  <c r="ET208" i="1"/>
  <c r="ES208" i="1"/>
  <c r="ER208" i="1"/>
  <c r="EQ208" i="1"/>
  <c r="EP208" i="1"/>
  <c r="EO208" i="1"/>
  <c r="EN208" i="1"/>
  <c r="EW207" i="1"/>
  <c r="EV207" i="1"/>
  <c r="EU207" i="1"/>
  <c r="ET207" i="1"/>
  <c r="ES207" i="1"/>
  <c r="ER207" i="1"/>
  <c r="EQ207" i="1"/>
  <c r="EP207" i="1"/>
  <c r="EO207" i="1"/>
  <c r="EN207" i="1"/>
  <c r="EW206" i="1"/>
  <c r="EV206" i="1"/>
  <c r="EU206" i="1"/>
  <c r="ET206" i="1"/>
  <c r="ES206" i="1"/>
  <c r="ER206" i="1"/>
  <c r="EQ206" i="1"/>
  <c r="EP206" i="1"/>
  <c r="EO206" i="1"/>
  <c r="EN206" i="1"/>
  <c r="EW205" i="1"/>
  <c r="EV205" i="1"/>
  <c r="EU205" i="1"/>
  <c r="ET205" i="1"/>
  <c r="ES205" i="1"/>
  <c r="ER205" i="1"/>
  <c r="EQ205" i="1"/>
  <c r="EP205" i="1"/>
  <c r="EO205" i="1"/>
  <c r="EN205" i="1"/>
  <c r="EW204" i="1"/>
  <c r="EV204" i="1"/>
  <c r="EU204" i="1"/>
  <c r="ET204" i="1"/>
  <c r="ES204" i="1"/>
  <c r="ER204" i="1"/>
  <c r="EQ204" i="1"/>
  <c r="EP204" i="1"/>
  <c r="EO204" i="1"/>
  <c r="EN204" i="1"/>
  <c r="EW203" i="1"/>
  <c r="EV203" i="1"/>
  <c r="EU203" i="1"/>
  <c r="ET203" i="1"/>
  <c r="ES203" i="1"/>
  <c r="ER203" i="1"/>
  <c r="EQ203" i="1"/>
  <c r="EP203" i="1"/>
  <c r="EO203" i="1"/>
  <c r="EN203" i="1"/>
  <c r="EW202" i="1"/>
  <c r="EV202" i="1"/>
  <c r="EU202" i="1"/>
  <c r="ET202" i="1"/>
  <c r="ES202" i="1"/>
  <c r="ER202" i="1"/>
  <c r="EQ202" i="1"/>
  <c r="EP202" i="1"/>
  <c r="EO202" i="1"/>
  <c r="EN202" i="1"/>
  <c r="EW201" i="1"/>
  <c r="EV201" i="1"/>
  <c r="EU201" i="1"/>
  <c r="ET201" i="1"/>
  <c r="ES201" i="1"/>
  <c r="ER201" i="1"/>
  <c r="EQ201" i="1"/>
  <c r="EP201" i="1"/>
  <c r="EO201" i="1"/>
  <c r="EN201" i="1"/>
  <c r="EW200" i="1"/>
  <c r="EV200" i="1"/>
  <c r="EU200" i="1"/>
  <c r="ET200" i="1"/>
  <c r="ES200" i="1"/>
  <c r="ER200" i="1"/>
  <c r="EQ200" i="1"/>
  <c r="EP200" i="1"/>
  <c r="EO200" i="1"/>
  <c r="EN200" i="1"/>
  <c r="EW199" i="1"/>
  <c r="EV199" i="1"/>
  <c r="EU199" i="1"/>
  <c r="ET199" i="1"/>
  <c r="ES199" i="1"/>
  <c r="ER199" i="1"/>
  <c r="EQ199" i="1"/>
  <c r="EP199" i="1"/>
  <c r="EO199" i="1"/>
  <c r="EN199" i="1"/>
  <c r="EW198" i="1"/>
  <c r="EV198" i="1"/>
  <c r="EU198" i="1"/>
  <c r="ET198" i="1"/>
  <c r="ES198" i="1"/>
  <c r="ER198" i="1"/>
  <c r="EQ198" i="1"/>
  <c r="EP198" i="1"/>
  <c r="EO198" i="1"/>
  <c r="EN198" i="1"/>
  <c r="EW197" i="1"/>
  <c r="EV197" i="1"/>
  <c r="EU197" i="1"/>
  <c r="ET197" i="1"/>
  <c r="ES197" i="1"/>
  <c r="ER197" i="1"/>
  <c r="EQ197" i="1"/>
  <c r="EP197" i="1"/>
  <c r="EO197" i="1"/>
  <c r="EN197" i="1"/>
  <c r="EW196" i="1"/>
  <c r="EV196" i="1"/>
  <c r="EU196" i="1"/>
  <c r="ET196" i="1"/>
  <c r="ES196" i="1"/>
  <c r="ER196" i="1"/>
  <c r="EQ196" i="1"/>
  <c r="EP196" i="1"/>
  <c r="EO196" i="1"/>
  <c r="EN196" i="1"/>
  <c r="EW195" i="1"/>
  <c r="EV195" i="1"/>
  <c r="EU195" i="1"/>
  <c r="ET195" i="1"/>
  <c r="ES195" i="1"/>
  <c r="ER195" i="1"/>
  <c r="EQ195" i="1"/>
  <c r="EP195" i="1"/>
  <c r="EO195" i="1"/>
  <c r="EN195" i="1"/>
  <c r="EW194" i="1"/>
  <c r="EV194" i="1"/>
  <c r="EU194" i="1"/>
  <c r="ET194" i="1"/>
  <c r="ES194" i="1"/>
  <c r="ER194" i="1"/>
  <c r="EQ194" i="1"/>
  <c r="EP194" i="1"/>
  <c r="EO194" i="1"/>
  <c r="EN194" i="1"/>
  <c r="EW193" i="1"/>
  <c r="EV193" i="1"/>
  <c r="EU193" i="1"/>
  <c r="ET193" i="1"/>
  <c r="ES193" i="1"/>
  <c r="ER193" i="1"/>
  <c r="EQ193" i="1"/>
  <c r="EP193" i="1"/>
  <c r="EO193" i="1"/>
  <c r="EN193" i="1"/>
  <c r="EW192" i="1"/>
  <c r="EV192" i="1"/>
  <c r="EU192" i="1"/>
  <c r="ET192" i="1"/>
  <c r="ES192" i="1"/>
  <c r="ER192" i="1"/>
  <c r="EQ192" i="1"/>
  <c r="EP192" i="1"/>
  <c r="EO192" i="1"/>
  <c r="EN192" i="1"/>
  <c r="EW191" i="1"/>
  <c r="EV191" i="1"/>
  <c r="EU191" i="1"/>
  <c r="ET191" i="1"/>
  <c r="ES191" i="1"/>
  <c r="ER191" i="1"/>
  <c r="EQ191" i="1"/>
  <c r="EP191" i="1"/>
  <c r="EO191" i="1"/>
  <c r="EN191" i="1"/>
  <c r="EW190" i="1"/>
  <c r="EV190" i="1"/>
  <c r="EU190" i="1"/>
  <c r="ET190" i="1"/>
  <c r="ES190" i="1"/>
  <c r="ER190" i="1"/>
  <c r="EQ190" i="1"/>
  <c r="EP190" i="1"/>
  <c r="EO190" i="1"/>
  <c r="EN190" i="1"/>
  <c r="EW189" i="1"/>
  <c r="EV189" i="1"/>
  <c r="EU189" i="1"/>
  <c r="ET189" i="1"/>
  <c r="ES189" i="1"/>
  <c r="ER189" i="1"/>
  <c r="EQ189" i="1"/>
  <c r="EP189" i="1"/>
  <c r="EO189" i="1"/>
  <c r="EN189" i="1"/>
  <c r="EW188" i="1"/>
  <c r="EV188" i="1"/>
  <c r="EU188" i="1"/>
  <c r="ET188" i="1"/>
  <c r="ES188" i="1"/>
  <c r="ER188" i="1"/>
  <c r="EQ188" i="1"/>
  <c r="EP188" i="1"/>
  <c r="EO188" i="1"/>
  <c r="EN188" i="1"/>
  <c r="EW187" i="1"/>
  <c r="EV187" i="1"/>
  <c r="EU187" i="1"/>
  <c r="ET187" i="1"/>
  <c r="ES187" i="1"/>
  <c r="ER187" i="1"/>
  <c r="EQ187" i="1"/>
  <c r="EP187" i="1"/>
  <c r="EO187" i="1"/>
  <c r="EN187" i="1"/>
  <c r="EW186" i="1"/>
  <c r="EV186" i="1"/>
  <c r="EU186" i="1"/>
  <c r="ET186" i="1"/>
  <c r="ES186" i="1"/>
  <c r="ER186" i="1"/>
  <c r="EQ186" i="1"/>
  <c r="EP186" i="1"/>
  <c r="EO186" i="1"/>
  <c r="EN186" i="1"/>
  <c r="EW185" i="1"/>
  <c r="EV185" i="1"/>
  <c r="EU185" i="1"/>
  <c r="ET185" i="1"/>
  <c r="ES185" i="1"/>
  <c r="ER185" i="1"/>
  <c r="EQ185" i="1"/>
  <c r="EP185" i="1"/>
  <c r="EO185" i="1"/>
  <c r="EN185" i="1"/>
  <c r="EW184" i="1"/>
  <c r="EV184" i="1"/>
  <c r="EU184" i="1"/>
  <c r="ET184" i="1"/>
  <c r="ES184" i="1"/>
  <c r="ER184" i="1"/>
  <c r="EQ184" i="1"/>
  <c r="EP184" i="1"/>
  <c r="EO184" i="1"/>
  <c r="EN184" i="1"/>
  <c r="EW183" i="1"/>
  <c r="EV183" i="1"/>
  <c r="EU183" i="1"/>
  <c r="ET183" i="1"/>
  <c r="ES183" i="1"/>
  <c r="ER183" i="1"/>
  <c r="EQ183" i="1"/>
  <c r="EP183" i="1"/>
  <c r="EO183" i="1"/>
  <c r="EN183" i="1"/>
  <c r="EW182" i="1"/>
  <c r="EV182" i="1"/>
  <c r="EU182" i="1"/>
  <c r="ET182" i="1"/>
  <c r="ES182" i="1"/>
  <c r="ER182" i="1"/>
  <c r="EQ182" i="1"/>
  <c r="EP182" i="1"/>
  <c r="EO182" i="1"/>
  <c r="EN182" i="1"/>
  <c r="EW181" i="1"/>
  <c r="EV181" i="1"/>
  <c r="EU181" i="1"/>
  <c r="ET181" i="1"/>
  <c r="ES181" i="1"/>
  <c r="ER181" i="1"/>
  <c r="EQ181" i="1"/>
  <c r="EP181" i="1"/>
  <c r="EO181" i="1"/>
  <c r="EN181" i="1"/>
  <c r="EW180" i="1"/>
  <c r="EV180" i="1"/>
  <c r="EU180" i="1"/>
  <c r="ET180" i="1"/>
  <c r="ES180" i="1"/>
  <c r="ER180" i="1"/>
  <c r="EQ180" i="1"/>
  <c r="EP180" i="1"/>
  <c r="EO180" i="1"/>
  <c r="EN180" i="1"/>
  <c r="EW179" i="1"/>
  <c r="EV179" i="1"/>
  <c r="EU179" i="1"/>
  <c r="ET179" i="1"/>
  <c r="ES179" i="1"/>
  <c r="ER179" i="1"/>
  <c r="EQ179" i="1"/>
  <c r="EP179" i="1"/>
  <c r="EO179" i="1"/>
  <c r="EN179" i="1"/>
  <c r="EW178" i="1"/>
  <c r="EV178" i="1"/>
  <c r="EU178" i="1"/>
  <c r="ET178" i="1"/>
  <c r="ES178" i="1"/>
  <c r="ER178" i="1"/>
  <c r="EQ178" i="1"/>
  <c r="EP178" i="1"/>
  <c r="EO178" i="1"/>
  <c r="EN178" i="1"/>
  <c r="EW177" i="1"/>
  <c r="EV177" i="1"/>
  <c r="EU177" i="1"/>
  <c r="ET177" i="1"/>
  <c r="ES177" i="1"/>
  <c r="ER177" i="1"/>
  <c r="EQ177" i="1"/>
  <c r="EP177" i="1"/>
  <c r="EO177" i="1"/>
  <c r="EN177" i="1"/>
  <c r="EW176" i="1"/>
  <c r="EV176" i="1"/>
  <c r="EU176" i="1"/>
  <c r="ET176" i="1"/>
  <c r="ES176" i="1"/>
  <c r="ER176" i="1"/>
  <c r="EQ176" i="1"/>
  <c r="EP176" i="1"/>
  <c r="EO176" i="1"/>
  <c r="EN176" i="1"/>
  <c r="EW175" i="1"/>
  <c r="EV175" i="1"/>
  <c r="EU175" i="1"/>
  <c r="ET175" i="1"/>
  <c r="ES175" i="1"/>
  <c r="ER175" i="1"/>
  <c r="EQ175" i="1"/>
  <c r="EP175" i="1"/>
  <c r="EO175" i="1"/>
  <c r="EN175" i="1"/>
  <c r="EW174" i="1"/>
  <c r="EV174" i="1"/>
  <c r="EU174" i="1"/>
  <c r="ET174" i="1"/>
  <c r="ES174" i="1"/>
  <c r="ER174" i="1"/>
  <c r="EQ174" i="1"/>
  <c r="EP174" i="1"/>
  <c r="EO174" i="1"/>
  <c r="EN174" i="1"/>
  <c r="EW173" i="1"/>
  <c r="EV173" i="1"/>
  <c r="EU173" i="1"/>
  <c r="ET173" i="1"/>
  <c r="ES173" i="1"/>
  <c r="ER173" i="1"/>
  <c r="EQ173" i="1"/>
  <c r="EP173" i="1"/>
  <c r="EO173" i="1"/>
  <c r="EN173" i="1"/>
  <c r="EW172" i="1"/>
  <c r="EV172" i="1"/>
  <c r="EU172" i="1"/>
  <c r="ET172" i="1"/>
  <c r="ES172" i="1"/>
  <c r="ER172" i="1"/>
  <c r="EQ172" i="1"/>
  <c r="EP172" i="1"/>
  <c r="EO172" i="1"/>
  <c r="EN172" i="1"/>
  <c r="EW171" i="1"/>
  <c r="EV171" i="1"/>
  <c r="EU171" i="1"/>
  <c r="ET171" i="1"/>
  <c r="ES171" i="1"/>
  <c r="ER171" i="1"/>
  <c r="EQ171" i="1"/>
  <c r="EP171" i="1"/>
  <c r="EO171" i="1"/>
  <c r="EN171" i="1"/>
  <c r="EW170" i="1"/>
  <c r="EV170" i="1"/>
  <c r="EU170" i="1"/>
  <c r="ET170" i="1"/>
  <c r="ES170" i="1"/>
  <c r="ER170" i="1"/>
  <c r="EQ170" i="1"/>
  <c r="EP170" i="1"/>
  <c r="EO170" i="1"/>
  <c r="EN170" i="1"/>
  <c r="EW169" i="1"/>
  <c r="EV169" i="1"/>
  <c r="EU169" i="1"/>
  <c r="ET169" i="1"/>
  <c r="ES169" i="1"/>
  <c r="ER169" i="1"/>
  <c r="EQ169" i="1"/>
  <c r="EP169" i="1"/>
  <c r="EO169" i="1"/>
  <c r="EN169" i="1"/>
  <c r="EW168" i="1"/>
  <c r="EV168" i="1"/>
  <c r="EU168" i="1"/>
  <c r="ET168" i="1"/>
  <c r="ES168" i="1"/>
  <c r="ER168" i="1"/>
  <c r="EQ168" i="1"/>
  <c r="EP168" i="1"/>
  <c r="EO168" i="1"/>
  <c r="EN168" i="1"/>
  <c r="EW167" i="1"/>
  <c r="EV167" i="1"/>
  <c r="EU167" i="1"/>
  <c r="ET167" i="1"/>
  <c r="ES167" i="1"/>
  <c r="ER167" i="1"/>
  <c r="EQ167" i="1"/>
  <c r="EW166" i="1"/>
  <c r="EV166" i="1"/>
  <c r="EU166" i="1"/>
  <c r="ET166" i="1"/>
  <c r="ES166" i="1"/>
  <c r="ER166" i="1"/>
  <c r="EQ166" i="1"/>
  <c r="EP166" i="1"/>
  <c r="EW165" i="1"/>
  <c r="EV165" i="1"/>
  <c r="EU165" i="1"/>
  <c r="ET165" i="1"/>
  <c r="ES165" i="1"/>
  <c r="ER165" i="1"/>
  <c r="EQ165" i="1"/>
  <c r="EP165" i="1"/>
  <c r="EW164" i="1"/>
  <c r="EV164" i="1"/>
  <c r="EU164" i="1"/>
  <c r="ET164" i="1"/>
  <c r="ES164" i="1"/>
  <c r="ER164" i="1"/>
  <c r="EQ164" i="1"/>
  <c r="EP164" i="1"/>
  <c r="EO164" i="1"/>
  <c r="EN164" i="1"/>
  <c r="EW163" i="1"/>
  <c r="EV163" i="1"/>
  <c r="EU163" i="1"/>
  <c r="ET163" i="1"/>
  <c r="ES163" i="1"/>
  <c r="ER163" i="1"/>
  <c r="EQ163" i="1"/>
  <c r="EP163" i="1"/>
  <c r="EO163" i="1"/>
  <c r="EN163" i="1"/>
  <c r="EW162" i="1"/>
  <c r="EV162" i="1"/>
  <c r="EU162" i="1"/>
  <c r="ET162" i="1"/>
  <c r="ES162" i="1"/>
  <c r="ER162" i="1"/>
  <c r="EQ162" i="1"/>
  <c r="EP162" i="1"/>
  <c r="EO162" i="1"/>
  <c r="EN162" i="1"/>
  <c r="EW161" i="1"/>
  <c r="EV161" i="1"/>
  <c r="EU161" i="1"/>
  <c r="ET161" i="1"/>
  <c r="ES161" i="1"/>
  <c r="ER161" i="1"/>
  <c r="EQ161" i="1"/>
  <c r="EP161" i="1"/>
  <c r="EO161" i="1"/>
  <c r="EN161" i="1"/>
  <c r="EW160" i="1"/>
  <c r="EV160" i="1"/>
  <c r="EU160" i="1"/>
  <c r="ET160" i="1"/>
  <c r="ES160" i="1"/>
  <c r="ER160" i="1"/>
  <c r="EQ160" i="1"/>
  <c r="EP160" i="1"/>
  <c r="EO160" i="1"/>
  <c r="EN160" i="1"/>
  <c r="EW159" i="1"/>
  <c r="EV159" i="1"/>
  <c r="EU159" i="1"/>
  <c r="ET159" i="1"/>
  <c r="ES159" i="1"/>
  <c r="ER159" i="1"/>
  <c r="EQ159" i="1"/>
  <c r="EP159" i="1"/>
  <c r="EO159" i="1"/>
  <c r="EN159" i="1"/>
  <c r="EW158" i="1"/>
  <c r="EV158" i="1"/>
  <c r="EU158" i="1"/>
  <c r="ET158" i="1"/>
  <c r="ES158" i="1"/>
  <c r="ER158" i="1"/>
  <c r="EQ158" i="1"/>
  <c r="EP158" i="1"/>
  <c r="EO158" i="1"/>
  <c r="EN158" i="1"/>
  <c r="EW157" i="1"/>
  <c r="EV157" i="1"/>
  <c r="EU157" i="1"/>
  <c r="ET157" i="1"/>
  <c r="ES157" i="1"/>
  <c r="ER157" i="1"/>
  <c r="EQ157" i="1"/>
  <c r="EP157" i="1"/>
  <c r="EO157" i="1"/>
  <c r="EN157" i="1"/>
  <c r="EW156" i="1"/>
  <c r="EV156" i="1"/>
  <c r="EU156" i="1"/>
  <c r="ET156" i="1"/>
  <c r="ES156" i="1"/>
  <c r="ER156" i="1"/>
  <c r="EQ156" i="1"/>
  <c r="EP156" i="1"/>
  <c r="EO156" i="1"/>
  <c r="EN156" i="1"/>
  <c r="EW155" i="1"/>
  <c r="EV155" i="1"/>
  <c r="EU155" i="1"/>
  <c r="ET155" i="1"/>
  <c r="ES155" i="1"/>
  <c r="ER155" i="1"/>
  <c r="EQ155" i="1"/>
  <c r="EP155" i="1"/>
  <c r="EO155" i="1"/>
  <c r="EN155" i="1"/>
  <c r="EW154" i="1"/>
  <c r="EV154" i="1"/>
  <c r="EU154" i="1"/>
  <c r="ET154" i="1"/>
  <c r="ES154" i="1"/>
  <c r="ER154" i="1"/>
  <c r="EQ154" i="1"/>
  <c r="EP154" i="1"/>
  <c r="EO154" i="1"/>
  <c r="EN154" i="1"/>
  <c r="EW153" i="1"/>
  <c r="EV153" i="1"/>
  <c r="EU153" i="1"/>
  <c r="ET153" i="1"/>
  <c r="ES153" i="1"/>
  <c r="ER153" i="1"/>
  <c r="EQ153" i="1"/>
  <c r="EP153" i="1"/>
  <c r="EW152" i="1"/>
  <c r="EV152" i="1"/>
  <c r="EU152" i="1"/>
  <c r="ET152" i="1"/>
  <c r="ES152" i="1"/>
  <c r="ER152" i="1"/>
  <c r="EQ152" i="1"/>
  <c r="EP152" i="1"/>
  <c r="EW151" i="1"/>
  <c r="EV151" i="1"/>
  <c r="EU151" i="1"/>
  <c r="ET151" i="1"/>
  <c r="ES151" i="1"/>
  <c r="ER151" i="1"/>
  <c r="EQ151" i="1"/>
  <c r="EP151" i="1"/>
  <c r="EW150" i="1"/>
  <c r="EV150" i="1"/>
  <c r="EU150" i="1"/>
  <c r="ET150" i="1"/>
  <c r="ES150" i="1"/>
  <c r="ER150" i="1"/>
  <c r="EQ150" i="1"/>
  <c r="EP150" i="1"/>
  <c r="EO150" i="1"/>
  <c r="EN150" i="1"/>
  <c r="EW149" i="1"/>
  <c r="EV149" i="1"/>
  <c r="EU149" i="1"/>
  <c r="ET149" i="1"/>
  <c r="ES149" i="1"/>
  <c r="ER149" i="1"/>
  <c r="EQ149" i="1"/>
  <c r="EP149" i="1"/>
  <c r="EO149" i="1"/>
  <c r="EN149" i="1"/>
  <c r="EW148" i="1"/>
  <c r="EV148" i="1"/>
  <c r="EU148" i="1"/>
  <c r="ET148" i="1"/>
  <c r="ES148" i="1"/>
  <c r="ER148" i="1"/>
  <c r="EQ148" i="1"/>
  <c r="EP148" i="1"/>
  <c r="EO148" i="1"/>
  <c r="EN148" i="1"/>
  <c r="EW147" i="1"/>
  <c r="EV147" i="1"/>
  <c r="EU147" i="1"/>
  <c r="ET147" i="1"/>
  <c r="ES147" i="1"/>
  <c r="ER147" i="1"/>
  <c r="EQ147" i="1"/>
  <c r="EP147" i="1"/>
  <c r="EO147" i="1"/>
  <c r="EN147" i="1"/>
  <c r="EW146" i="1"/>
  <c r="EV146" i="1"/>
  <c r="EU146" i="1"/>
  <c r="ET146" i="1"/>
  <c r="ES146" i="1"/>
  <c r="EW145" i="1"/>
  <c r="EV145" i="1"/>
  <c r="EU145" i="1"/>
  <c r="ET145" i="1"/>
  <c r="ES145" i="1"/>
  <c r="ER145" i="1"/>
  <c r="EQ145" i="1"/>
  <c r="EP145" i="1"/>
  <c r="EW144" i="1"/>
  <c r="EV144" i="1"/>
  <c r="EU144" i="1"/>
  <c r="ET144" i="1"/>
  <c r="ES144" i="1"/>
  <c r="ER144" i="1"/>
  <c r="EW143" i="1"/>
  <c r="EV143" i="1"/>
  <c r="EU143" i="1"/>
  <c r="ET143" i="1"/>
  <c r="ES143" i="1"/>
  <c r="EW142" i="1"/>
  <c r="EV142" i="1"/>
  <c r="EU142" i="1"/>
  <c r="ET142" i="1"/>
  <c r="ES142" i="1"/>
  <c r="ER142" i="1"/>
  <c r="EQ142" i="1"/>
  <c r="EP142" i="1"/>
  <c r="EO142" i="1"/>
  <c r="EN142" i="1"/>
  <c r="EW141" i="1"/>
  <c r="EV141" i="1"/>
  <c r="EU141" i="1"/>
  <c r="ET141" i="1"/>
  <c r="ES141" i="1"/>
  <c r="ER141" i="1"/>
  <c r="EQ141" i="1"/>
  <c r="EP141" i="1"/>
  <c r="EO141" i="1"/>
  <c r="EN141" i="1"/>
  <c r="EW140" i="1"/>
  <c r="EV140" i="1"/>
  <c r="EU140" i="1"/>
  <c r="ET140" i="1"/>
  <c r="ES140" i="1"/>
  <c r="ER140" i="1"/>
  <c r="EQ140" i="1"/>
  <c r="EP140" i="1"/>
  <c r="EO140" i="1"/>
  <c r="EN140" i="1"/>
  <c r="EW139" i="1"/>
  <c r="EV139" i="1"/>
  <c r="EU139" i="1"/>
  <c r="ET139" i="1"/>
  <c r="ES139" i="1"/>
  <c r="ER139" i="1"/>
  <c r="EQ139" i="1"/>
  <c r="EP139" i="1"/>
  <c r="EO139" i="1"/>
  <c r="EN139" i="1"/>
  <c r="EW138" i="1"/>
  <c r="EV138" i="1"/>
  <c r="EU138" i="1"/>
  <c r="ET138" i="1"/>
  <c r="ES138" i="1"/>
  <c r="ER138" i="1"/>
  <c r="EQ138" i="1"/>
  <c r="EP138" i="1"/>
  <c r="EO138" i="1"/>
  <c r="EN138" i="1"/>
  <c r="EW137" i="1"/>
  <c r="EV137" i="1"/>
  <c r="EU137" i="1"/>
  <c r="ET137" i="1"/>
  <c r="ES137" i="1"/>
  <c r="ER137" i="1"/>
  <c r="EQ137" i="1"/>
  <c r="EP137" i="1"/>
  <c r="EO137" i="1"/>
  <c r="EN137" i="1"/>
  <c r="EW136" i="1"/>
  <c r="EV136" i="1"/>
  <c r="EU136" i="1"/>
  <c r="ET136" i="1"/>
  <c r="ES136" i="1"/>
  <c r="ER136" i="1"/>
  <c r="EQ136" i="1"/>
  <c r="EP136" i="1"/>
  <c r="EO136" i="1"/>
  <c r="EN136" i="1"/>
  <c r="EW135" i="1"/>
  <c r="EV135" i="1"/>
  <c r="EU135" i="1"/>
  <c r="ET135" i="1"/>
  <c r="ES135" i="1"/>
  <c r="ER135" i="1"/>
  <c r="EQ135" i="1"/>
  <c r="EP135" i="1"/>
  <c r="EO135" i="1"/>
  <c r="EN135" i="1"/>
  <c r="EW134" i="1"/>
  <c r="EV134" i="1"/>
  <c r="EU134" i="1"/>
  <c r="ET134" i="1"/>
  <c r="ES134" i="1"/>
  <c r="ER134" i="1"/>
  <c r="EQ134" i="1"/>
  <c r="EP134" i="1"/>
  <c r="EO134" i="1"/>
  <c r="EN134" i="1"/>
  <c r="EW133" i="1"/>
  <c r="EV133" i="1"/>
  <c r="EU133" i="1"/>
  <c r="ET133" i="1"/>
  <c r="ES133" i="1"/>
  <c r="ER133" i="1"/>
  <c r="EQ133" i="1"/>
  <c r="EP133" i="1"/>
  <c r="EO133" i="1"/>
  <c r="EN133" i="1"/>
  <c r="EW132" i="1"/>
  <c r="EV132" i="1"/>
  <c r="EU132" i="1"/>
  <c r="ET132" i="1"/>
  <c r="ES132" i="1"/>
  <c r="ER132" i="1"/>
  <c r="EQ132" i="1"/>
  <c r="EP132" i="1"/>
  <c r="EO132" i="1"/>
  <c r="EN132" i="1"/>
  <c r="EW131" i="1"/>
  <c r="EV131" i="1"/>
  <c r="EU131" i="1"/>
  <c r="ET131" i="1"/>
  <c r="ES131" i="1"/>
  <c r="ER131" i="1"/>
  <c r="EQ131" i="1"/>
  <c r="EP131" i="1"/>
  <c r="EO131" i="1"/>
  <c r="EN131" i="1"/>
  <c r="EW130" i="1"/>
  <c r="EV130" i="1"/>
  <c r="EU130" i="1"/>
  <c r="ET130" i="1"/>
  <c r="ES130" i="1"/>
  <c r="ER130" i="1"/>
  <c r="EQ130" i="1"/>
  <c r="EP130" i="1"/>
  <c r="EO130" i="1"/>
  <c r="EN130" i="1"/>
  <c r="EW129" i="1"/>
  <c r="EV129" i="1"/>
  <c r="EU129" i="1"/>
  <c r="ET129" i="1"/>
  <c r="ES129" i="1"/>
  <c r="ER129" i="1"/>
  <c r="EQ129" i="1"/>
  <c r="EP129" i="1"/>
  <c r="EO129" i="1"/>
  <c r="EN129" i="1"/>
  <c r="EW128" i="1"/>
  <c r="EV128" i="1"/>
  <c r="EU128" i="1"/>
  <c r="ET128" i="1"/>
  <c r="ES128" i="1"/>
  <c r="ER128" i="1"/>
  <c r="EQ128" i="1"/>
  <c r="EP128" i="1"/>
  <c r="EO128" i="1"/>
  <c r="EN128" i="1"/>
  <c r="EW127" i="1"/>
  <c r="EV127" i="1"/>
  <c r="EU127" i="1"/>
  <c r="ET127" i="1"/>
  <c r="ES127" i="1"/>
  <c r="ER127" i="1"/>
  <c r="EQ127" i="1"/>
  <c r="EP127" i="1"/>
  <c r="EO127" i="1"/>
  <c r="EN127" i="1"/>
  <c r="EW126" i="1"/>
  <c r="EV126" i="1"/>
  <c r="EU126" i="1"/>
  <c r="ET126" i="1"/>
  <c r="ES126" i="1"/>
  <c r="ER126" i="1"/>
  <c r="EQ126" i="1"/>
  <c r="EP126" i="1"/>
  <c r="EO126" i="1"/>
  <c r="EN126" i="1"/>
  <c r="EW125" i="1"/>
  <c r="EV125" i="1"/>
  <c r="EU125" i="1"/>
  <c r="ET125" i="1"/>
  <c r="ES125" i="1"/>
  <c r="ER125" i="1"/>
  <c r="EQ125" i="1"/>
  <c r="EP125" i="1"/>
  <c r="EO125" i="1"/>
  <c r="EN125" i="1"/>
  <c r="EW124" i="1"/>
  <c r="EV124" i="1"/>
  <c r="EU124" i="1"/>
  <c r="ET124" i="1"/>
  <c r="ES124" i="1"/>
  <c r="ER124" i="1"/>
  <c r="EQ124" i="1"/>
  <c r="EP124" i="1"/>
  <c r="EO124" i="1"/>
  <c r="EN124" i="1"/>
  <c r="EW123" i="1"/>
  <c r="EV123" i="1"/>
  <c r="EU123" i="1"/>
  <c r="ET123" i="1"/>
  <c r="ES123" i="1"/>
  <c r="ER123" i="1"/>
  <c r="EQ123" i="1"/>
  <c r="EP123" i="1"/>
  <c r="EO123" i="1"/>
  <c r="EN123" i="1"/>
  <c r="EW122" i="1"/>
  <c r="EV122" i="1"/>
  <c r="EU122" i="1"/>
  <c r="ET122" i="1"/>
  <c r="ES122" i="1"/>
  <c r="ER122" i="1"/>
  <c r="EQ122" i="1"/>
  <c r="EP122" i="1"/>
  <c r="EO122" i="1"/>
  <c r="EN122" i="1"/>
  <c r="EW121" i="1"/>
  <c r="EV121" i="1"/>
  <c r="EU121" i="1"/>
  <c r="ET121" i="1"/>
  <c r="ES121" i="1"/>
  <c r="ER121" i="1"/>
  <c r="EQ121" i="1"/>
  <c r="EP121" i="1"/>
  <c r="EO121" i="1"/>
  <c r="EN121" i="1"/>
  <c r="EW120" i="1"/>
  <c r="EV120" i="1"/>
  <c r="EU120" i="1"/>
  <c r="ET120" i="1"/>
  <c r="ES120" i="1"/>
  <c r="ER120" i="1"/>
  <c r="EQ120" i="1"/>
  <c r="EP120" i="1"/>
  <c r="EO120" i="1"/>
  <c r="EN120" i="1"/>
  <c r="EW119" i="1"/>
  <c r="EV119" i="1"/>
  <c r="EU119" i="1"/>
  <c r="ET119" i="1"/>
  <c r="ES119" i="1"/>
  <c r="ER119" i="1"/>
  <c r="EQ119" i="1"/>
  <c r="EP119" i="1"/>
  <c r="EO119" i="1"/>
  <c r="EN119" i="1"/>
  <c r="EW118" i="1"/>
  <c r="EV118" i="1"/>
  <c r="EU118" i="1"/>
  <c r="ET118" i="1"/>
  <c r="ES118" i="1"/>
  <c r="ER118" i="1"/>
  <c r="EQ118" i="1"/>
  <c r="EP118" i="1"/>
  <c r="EO118" i="1"/>
  <c r="EN118" i="1"/>
  <c r="EW117" i="1"/>
  <c r="EV117" i="1"/>
  <c r="EU117" i="1"/>
  <c r="ET117" i="1"/>
  <c r="ES117" i="1"/>
  <c r="ER117" i="1"/>
  <c r="EQ117" i="1"/>
  <c r="EP117" i="1"/>
  <c r="EO117" i="1"/>
  <c r="EN117" i="1"/>
  <c r="EW116" i="1"/>
  <c r="EV116" i="1"/>
  <c r="EU116" i="1"/>
  <c r="ET116" i="1"/>
  <c r="ES116" i="1"/>
  <c r="ER116" i="1"/>
  <c r="EQ116" i="1"/>
  <c r="EP116" i="1"/>
  <c r="EO116" i="1"/>
  <c r="EN116" i="1"/>
  <c r="EW115" i="1"/>
  <c r="EV115" i="1"/>
  <c r="EU115" i="1"/>
  <c r="ET115" i="1"/>
  <c r="ES115" i="1"/>
  <c r="ER115" i="1"/>
  <c r="EQ115" i="1"/>
  <c r="EP115" i="1"/>
  <c r="EO115" i="1"/>
  <c r="EN115" i="1"/>
  <c r="EW114" i="1"/>
  <c r="EV114" i="1"/>
  <c r="EU114" i="1"/>
  <c r="ET114" i="1"/>
  <c r="ES114" i="1"/>
  <c r="ER114" i="1"/>
  <c r="EQ114" i="1"/>
  <c r="EP114" i="1"/>
  <c r="EO114" i="1"/>
  <c r="EN114" i="1"/>
  <c r="EW113" i="1"/>
  <c r="EV113" i="1"/>
  <c r="EU113" i="1"/>
  <c r="ET113" i="1"/>
  <c r="ES113" i="1"/>
  <c r="ER113" i="1"/>
  <c r="EQ113" i="1"/>
  <c r="EP113" i="1"/>
  <c r="EO113" i="1"/>
  <c r="EN113" i="1"/>
  <c r="EW112" i="1"/>
  <c r="EV112" i="1"/>
  <c r="EU112" i="1"/>
  <c r="ET112" i="1"/>
  <c r="ES112" i="1"/>
  <c r="ER112" i="1"/>
  <c r="EQ112" i="1"/>
  <c r="EP112" i="1"/>
  <c r="EO112" i="1"/>
  <c r="EN112" i="1"/>
  <c r="EW111" i="1"/>
  <c r="EV111" i="1"/>
  <c r="EU111" i="1"/>
  <c r="ET111" i="1"/>
  <c r="ES111" i="1"/>
  <c r="ER111" i="1"/>
  <c r="EQ111" i="1"/>
  <c r="EP111" i="1"/>
  <c r="EO111" i="1"/>
  <c r="EN111" i="1"/>
  <c r="EW110" i="1"/>
  <c r="EV110" i="1"/>
  <c r="EU110" i="1"/>
  <c r="ET110" i="1"/>
  <c r="ES110" i="1"/>
  <c r="ER110" i="1"/>
  <c r="EQ110" i="1"/>
  <c r="EP110" i="1"/>
  <c r="EO110" i="1"/>
  <c r="EN110" i="1"/>
  <c r="EW109" i="1"/>
  <c r="EV109" i="1"/>
  <c r="EU109" i="1"/>
  <c r="ET109" i="1"/>
  <c r="ES109" i="1"/>
  <c r="ER109" i="1"/>
  <c r="EQ109" i="1"/>
  <c r="EP109" i="1"/>
  <c r="EO109" i="1"/>
  <c r="EN109" i="1"/>
  <c r="EW108" i="1"/>
  <c r="EV108" i="1"/>
  <c r="EU108" i="1"/>
  <c r="ET108" i="1"/>
  <c r="ES108" i="1"/>
  <c r="ER108" i="1"/>
  <c r="EQ108" i="1"/>
  <c r="EP108" i="1"/>
  <c r="EO108" i="1"/>
  <c r="EN108" i="1"/>
  <c r="EW107" i="1"/>
  <c r="EV107" i="1"/>
  <c r="EU107" i="1"/>
  <c r="ET107" i="1"/>
  <c r="ES107" i="1"/>
  <c r="ER107" i="1"/>
  <c r="EQ107" i="1"/>
  <c r="EP107" i="1"/>
  <c r="EO107" i="1"/>
  <c r="EN107" i="1"/>
  <c r="EW106" i="1"/>
  <c r="EV106" i="1"/>
  <c r="EU106" i="1"/>
  <c r="ET106" i="1"/>
  <c r="ES106" i="1"/>
  <c r="ER106" i="1"/>
  <c r="EQ106" i="1"/>
  <c r="EP106" i="1"/>
  <c r="EO106" i="1"/>
  <c r="EN106" i="1"/>
  <c r="EW105" i="1"/>
  <c r="EV105" i="1"/>
  <c r="EU105" i="1"/>
  <c r="ET105" i="1"/>
  <c r="ES105" i="1"/>
  <c r="ER105" i="1"/>
  <c r="EQ105" i="1"/>
  <c r="EP105" i="1"/>
  <c r="EO105" i="1"/>
  <c r="EN105" i="1"/>
  <c r="EW104" i="1"/>
  <c r="EV104" i="1"/>
  <c r="EU104" i="1"/>
  <c r="ET104" i="1"/>
  <c r="ES104" i="1"/>
  <c r="ER104" i="1"/>
  <c r="EQ104" i="1"/>
  <c r="EP104" i="1"/>
  <c r="EO104" i="1"/>
  <c r="EN104" i="1"/>
  <c r="EW103" i="1"/>
  <c r="EV103" i="1"/>
  <c r="EU103" i="1"/>
  <c r="ET103" i="1"/>
  <c r="ES103" i="1"/>
  <c r="ER103" i="1"/>
  <c r="EQ103" i="1"/>
  <c r="EP103" i="1"/>
  <c r="EO103" i="1"/>
  <c r="EN103" i="1"/>
  <c r="EW102" i="1"/>
  <c r="EV102" i="1"/>
  <c r="EU102" i="1"/>
  <c r="ET102" i="1"/>
  <c r="ES102" i="1"/>
  <c r="ER102" i="1"/>
  <c r="EQ102" i="1"/>
  <c r="EP102" i="1"/>
  <c r="EO102" i="1"/>
  <c r="EN102" i="1"/>
  <c r="EW101" i="1"/>
  <c r="EV101" i="1"/>
  <c r="EU101" i="1"/>
  <c r="ET101" i="1"/>
  <c r="ES101" i="1"/>
  <c r="ER101" i="1"/>
  <c r="EQ101" i="1"/>
  <c r="EP101" i="1"/>
  <c r="EO101" i="1"/>
  <c r="EN101" i="1"/>
  <c r="EW100" i="1"/>
  <c r="EV100" i="1"/>
  <c r="EU100" i="1"/>
  <c r="ET100" i="1"/>
  <c r="ES100" i="1"/>
  <c r="ER100" i="1"/>
  <c r="EQ100" i="1"/>
  <c r="EP100" i="1"/>
  <c r="EO100" i="1"/>
  <c r="EN100" i="1"/>
  <c r="EW99" i="1"/>
  <c r="EV99" i="1"/>
  <c r="EU99" i="1"/>
  <c r="ET99" i="1"/>
  <c r="ES99" i="1"/>
  <c r="ER99" i="1"/>
  <c r="EQ99" i="1"/>
  <c r="EP99" i="1"/>
  <c r="EO99" i="1"/>
  <c r="EN99" i="1"/>
  <c r="EW98" i="1"/>
  <c r="EV98" i="1"/>
  <c r="EU98" i="1"/>
  <c r="ET98" i="1"/>
  <c r="ES98" i="1"/>
  <c r="ER98" i="1"/>
  <c r="EQ98" i="1"/>
  <c r="EP98" i="1"/>
  <c r="EO98" i="1"/>
  <c r="EN98" i="1"/>
  <c r="EW97" i="1"/>
  <c r="EV97" i="1"/>
  <c r="EU97" i="1"/>
  <c r="ET97" i="1"/>
  <c r="ES97" i="1"/>
  <c r="ER97" i="1"/>
  <c r="EQ97" i="1"/>
  <c r="EP97" i="1"/>
  <c r="EO97" i="1"/>
  <c r="EN97" i="1"/>
  <c r="EW96" i="1"/>
  <c r="EV96" i="1"/>
  <c r="EU96" i="1"/>
  <c r="ET96" i="1"/>
  <c r="ES96" i="1"/>
  <c r="ER96" i="1"/>
  <c r="EQ96" i="1"/>
  <c r="EP96" i="1"/>
  <c r="EO96" i="1"/>
  <c r="EN96" i="1"/>
  <c r="EW95" i="1"/>
  <c r="EV95" i="1"/>
  <c r="EU95" i="1"/>
  <c r="ET95" i="1"/>
  <c r="ES95" i="1"/>
  <c r="ER95" i="1"/>
  <c r="EQ95" i="1"/>
  <c r="EP95" i="1"/>
  <c r="EO95" i="1"/>
  <c r="EN95" i="1"/>
  <c r="EW94" i="1"/>
  <c r="EV94" i="1"/>
  <c r="EU94" i="1"/>
  <c r="ET94" i="1"/>
  <c r="ES94" i="1"/>
  <c r="ER94" i="1"/>
  <c r="EQ94" i="1"/>
  <c r="EP94" i="1"/>
  <c r="EO94" i="1"/>
  <c r="EN94" i="1"/>
  <c r="EW93" i="1"/>
  <c r="EV93" i="1"/>
  <c r="EU93" i="1"/>
  <c r="ET93" i="1"/>
  <c r="ES93" i="1"/>
  <c r="ER93" i="1"/>
  <c r="EQ93" i="1"/>
  <c r="EP93" i="1"/>
  <c r="EO93" i="1"/>
  <c r="EN93" i="1"/>
  <c r="EW92" i="1"/>
  <c r="EV92" i="1"/>
  <c r="EU92" i="1"/>
  <c r="ET92" i="1"/>
  <c r="ES92" i="1"/>
  <c r="ER92" i="1"/>
  <c r="EQ92" i="1"/>
  <c r="EP92" i="1"/>
  <c r="EO92" i="1"/>
  <c r="EN92" i="1"/>
  <c r="EW91" i="1"/>
  <c r="EV91" i="1"/>
  <c r="EU91" i="1"/>
  <c r="ET91" i="1"/>
  <c r="ES91" i="1"/>
  <c r="ER91" i="1"/>
  <c r="EQ91" i="1"/>
  <c r="EP91" i="1"/>
  <c r="EO91" i="1"/>
  <c r="EN91" i="1"/>
  <c r="EW90" i="1"/>
  <c r="EV90" i="1"/>
  <c r="EU90" i="1"/>
  <c r="ET90" i="1"/>
  <c r="ES90" i="1"/>
  <c r="ER90" i="1"/>
  <c r="EQ90" i="1"/>
  <c r="EP90" i="1"/>
  <c r="EO90" i="1"/>
  <c r="EN90" i="1"/>
  <c r="EW89" i="1"/>
  <c r="EV89" i="1"/>
  <c r="EU89" i="1"/>
  <c r="ET89" i="1"/>
  <c r="ES89" i="1"/>
  <c r="ER89" i="1"/>
  <c r="EQ89" i="1"/>
  <c r="EP89" i="1"/>
  <c r="EO89" i="1"/>
  <c r="EN89" i="1"/>
  <c r="EW88" i="1"/>
  <c r="EV88" i="1"/>
  <c r="EU88" i="1"/>
  <c r="ET88" i="1"/>
  <c r="ES88" i="1"/>
  <c r="ER88" i="1"/>
  <c r="EQ88" i="1"/>
  <c r="EP88" i="1"/>
  <c r="EO88" i="1"/>
  <c r="EN88" i="1"/>
  <c r="EW87" i="1"/>
  <c r="EV87" i="1"/>
  <c r="EU87" i="1"/>
  <c r="ET87" i="1"/>
  <c r="ES87" i="1"/>
  <c r="ER87" i="1"/>
  <c r="EQ87" i="1"/>
  <c r="EP87" i="1"/>
  <c r="EO87" i="1"/>
  <c r="EN87" i="1"/>
  <c r="EW86" i="1"/>
  <c r="EV86" i="1"/>
  <c r="EU86" i="1"/>
  <c r="ET86" i="1"/>
  <c r="ES86" i="1"/>
  <c r="ER86" i="1"/>
  <c r="EQ86" i="1"/>
  <c r="EP86" i="1"/>
  <c r="EO86" i="1"/>
  <c r="EN86" i="1"/>
  <c r="EW85" i="1"/>
  <c r="EV85" i="1"/>
  <c r="EU85" i="1"/>
  <c r="ET85" i="1"/>
  <c r="ES85" i="1"/>
  <c r="ER85" i="1"/>
  <c r="EQ85" i="1"/>
  <c r="EP85" i="1"/>
  <c r="EO85" i="1"/>
  <c r="EN85" i="1"/>
  <c r="EW84" i="1"/>
  <c r="EV84" i="1"/>
  <c r="EU84" i="1"/>
  <c r="ET84" i="1"/>
  <c r="ES84" i="1"/>
  <c r="ER84" i="1"/>
  <c r="EQ84" i="1"/>
  <c r="EP84" i="1"/>
  <c r="EO84" i="1"/>
  <c r="EN84" i="1"/>
  <c r="EW83" i="1"/>
  <c r="EV83" i="1"/>
  <c r="EU83" i="1"/>
  <c r="ET83" i="1"/>
  <c r="ES83" i="1"/>
  <c r="ER83" i="1"/>
  <c r="EQ83" i="1"/>
  <c r="EP83" i="1"/>
  <c r="EO83" i="1"/>
  <c r="EN83" i="1"/>
  <c r="EW82" i="1"/>
  <c r="EV82" i="1"/>
  <c r="EU82" i="1"/>
  <c r="ET82" i="1"/>
  <c r="ES82" i="1"/>
  <c r="ER82" i="1"/>
  <c r="EQ82" i="1"/>
  <c r="EP82" i="1"/>
  <c r="EO82" i="1"/>
  <c r="EN82" i="1"/>
  <c r="EW81" i="1"/>
  <c r="EV81" i="1"/>
  <c r="EU81" i="1"/>
  <c r="ET81" i="1"/>
  <c r="ES81" i="1"/>
  <c r="ER81" i="1"/>
  <c r="EQ81" i="1"/>
  <c r="EP81" i="1"/>
  <c r="EO81" i="1"/>
  <c r="EN81" i="1"/>
  <c r="EW80" i="1"/>
  <c r="EV80" i="1"/>
  <c r="EU80" i="1"/>
  <c r="ET80" i="1"/>
  <c r="ES80" i="1"/>
  <c r="ER80" i="1"/>
  <c r="EQ80" i="1"/>
  <c r="EP80" i="1"/>
  <c r="EO80" i="1"/>
  <c r="EN80" i="1"/>
  <c r="EW79" i="1"/>
  <c r="EV79" i="1"/>
  <c r="EU79" i="1"/>
  <c r="ET79" i="1"/>
  <c r="ES79" i="1"/>
  <c r="ER79" i="1"/>
  <c r="EQ79" i="1"/>
  <c r="EP79" i="1"/>
  <c r="EO79" i="1"/>
  <c r="EN79" i="1"/>
  <c r="EW78" i="1"/>
  <c r="EV78" i="1"/>
  <c r="EU78" i="1"/>
  <c r="ET78" i="1"/>
  <c r="ES78" i="1"/>
  <c r="ER78" i="1"/>
  <c r="EQ78" i="1"/>
  <c r="EP78" i="1"/>
  <c r="EO78" i="1"/>
  <c r="EN78" i="1"/>
  <c r="EW77" i="1"/>
  <c r="EV77" i="1"/>
  <c r="EU77" i="1"/>
  <c r="ET77" i="1"/>
  <c r="ES77" i="1"/>
  <c r="ER77" i="1"/>
  <c r="EQ77" i="1"/>
  <c r="EP77" i="1"/>
  <c r="EO77" i="1"/>
  <c r="EN77" i="1"/>
  <c r="EW76" i="1"/>
  <c r="EV76" i="1"/>
  <c r="EU76" i="1"/>
  <c r="ET76" i="1"/>
  <c r="ES76" i="1"/>
  <c r="ER76" i="1"/>
  <c r="EQ76" i="1"/>
  <c r="EP76" i="1"/>
  <c r="EO76" i="1"/>
  <c r="EN76" i="1"/>
  <c r="EW75" i="1"/>
  <c r="EV75" i="1"/>
  <c r="EU75" i="1"/>
  <c r="ET75" i="1"/>
  <c r="ES75" i="1"/>
  <c r="ER75" i="1"/>
  <c r="EQ75" i="1"/>
  <c r="EP75" i="1"/>
  <c r="EO75" i="1"/>
  <c r="EN75" i="1"/>
  <c r="EW74" i="1"/>
  <c r="EV74" i="1"/>
  <c r="EU74" i="1"/>
  <c r="ET74" i="1"/>
  <c r="ES74" i="1"/>
  <c r="ER74" i="1"/>
  <c r="EQ74" i="1"/>
  <c r="EP74" i="1"/>
  <c r="EO74" i="1"/>
  <c r="EN74" i="1"/>
  <c r="EW73" i="1"/>
  <c r="EV73" i="1"/>
  <c r="EU73" i="1"/>
  <c r="ET73" i="1"/>
  <c r="ES73" i="1"/>
  <c r="ER73" i="1"/>
  <c r="EQ73" i="1"/>
  <c r="EP73" i="1"/>
  <c r="EO73" i="1"/>
  <c r="EN73" i="1"/>
  <c r="EW72" i="1"/>
  <c r="EV72" i="1"/>
  <c r="EU72" i="1"/>
  <c r="ET72" i="1"/>
  <c r="ES72" i="1"/>
  <c r="ER72" i="1"/>
  <c r="EQ72" i="1"/>
  <c r="EP72" i="1"/>
  <c r="EO72" i="1"/>
  <c r="EN72" i="1"/>
  <c r="EW71" i="1"/>
  <c r="EV71" i="1"/>
  <c r="EU71" i="1"/>
  <c r="ET71" i="1"/>
  <c r="ES71" i="1"/>
  <c r="ER71" i="1"/>
  <c r="EQ71" i="1"/>
  <c r="EP71" i="1"/>
  <c r="EO71" i="1"/>
  <c r="EN71" i="1"/>
  <c r="EW70" i="1"/>
  <c r="EV70" i="1"/>
  <c r="EU70" i="1"/>
  <c r="ET70" i="1"/>
  <c r="ES70" i="1"/>
  <c r="ER70" i="1"/>
  <c r="EQ70" i="1"/>
  <c r="EP70" i="1"/>
  <c r="EO70" i="1"/>
  <c r="EN70" i="1"/>
  <c r="EW69" i="1"/>
  <c r="EV69" i="1"/>
  <c r="EU69" i="1"/>
  <c r="ET69" i="1"/>
  <c r="ES69" i="1"/>
  <c r="ER69" i="1"/>
  <c r="EQ69" i="1"/>
  <c r="EP69" i="1"/>
  <c r="EO69" i="1"/>
  <c r="EN69" i="1"/>
  <c r="EW68" i="1"/>
  <c r="EV68" i="1"/>
  <c r="EU68" i="1"/>
  <c r="ET68" i="1"/>
  <c r="ES68" i="1"/>
  <c r="ER68" i="1"/>
  <c r="EQ68" i="1"/>
  <c r="EP68" i="1"/>
  <c r="EO68" i="1"/>
  <c r="EN68" i="1"/>
  <c r="EW67" i="1"/>
  <c r="EV67" i="1"/>
  <c r="EU67" i="1"/>
  <c r="ET67" i="1"/>
  <c r="ES67" i="1"/>
  <c r="ER67" i="1"/>
  <c r="EQ67" i="1"/>
  <c r="EP67" i="1"/>
  <c r="EO67" i="1"/>
  <c r="EN67" i="1"/>
  <c r="EW66" i="1"/>
  <c r="EV66" i="1"/>
  <c r="EU66" i="1"/>
  <c r="ET66" i="1"/>
  <c r="ES66" i="1"/>
  <c r="ER66" i="1"/>
  <c r="EQ66" i="1"/>
  <c r="EP66" i="1"/>
  <c r="EO66" i="1"/>
  <c r="EN66" i="1"/>
  <c r="EW65" i="1"/>
  <c r="EV65" i="1"/>
  <c r="EU65" i="1"/>
  <c r="ET65" i="1"/>
  <c r="ES65" i="1"/>
  <c r="ER65" i="1"/>
  <c r="EQ65" i="1"/>
  <c r="EP65" i="1"/>
  <c r="EO65" i="1"/>
  <c r="EN65" i="1"/>
  <c r="EW64" i="1"/>
  <c r="EV64" i="1"/>
  <c r="EU64" i="1"/>
  <c r="ET64" i="1"/>
  <c r="ES64" i="1"/>
  <c r="ER64" i="1"/>
  <c r="EQ64" i="1"/>
  <c r="EP64" i="1"/>
  <c r="EO64" i="1"/>
  <c r="EN64" i="1"/>
  <c r="EW63" i="1"/>
  <c r="EV63" i="1"/>
  <c r="EU63" i="1"/>
  <c r="ET63" i="1"/>
  <c r="ES63" i="1"/>
  <c r="ER63" i="1"/>
  <c r="EQ63" i="1"/>
  <c r="EP63" i="1"/>
  <c r="EO63" i="1"/>
  <c r="EN63" i="1"/>
  <c r="EW62" i="1"/>
  <c r="EV62" i="1"/>
  <c r="EU62" i="1"/>
  <c r="ET62" i="1"/>
  <c r="ES62" i="1"/>
  <c r="ER62" i="1"/>
  <c r="EQ62" i="1"/>
  <c r="EP62" i="1"/>
  <c r="EO62" i="1"/>
  <c r="EN62" i="1"/>
  <c r="EW61" i="1"/>
  <c r="EV61" i="1"/>
  <c r="EU61" i="1"/>
  <c r="ET61" i="1"/>
  <c r="ES61" i="1"/>
  <c r="ER61" i="1"/>
  <c r="EQ61" i="1"/>
  <c r="EP61" i="1"/>
  <c r="EO61" i="1"/>
  <c r="EN61" i="1"/>
  <c r="EW60" i="1"/>
  <c r="EV60" i="1"/>
  <c r="EU60" i="1"/>
  <c r="ET60" i="1"/>
  <c r="ES60" i="1"/>
  <c r="ER60" i="1"/>
  <c r="EQ60" i="1"/>
  <c r="EP60" i="1"/>
  <c r="EO60" i="1"/>
  <c r="EN60" i="1"/>
  <c r="EW59" i="1"/>
  <c r="EV59" i="1"/>
  <c r="EU59" i="1"/>
  <c r="ET59" i="1"/>
  <c r="ES59" i="1"/>
  <c r="ER59" i="1"/>
  <c r="EQ59" i="1"/>
  <c r="EP59" i="1"/>
  <c r="EO59" i="1"/>
  <c r="EN59" i="1"/>
  <c r="EW58" i="1"/>
  <c r="EV58" i="1"/>
  <c r="EU58" i="1"/>
  <c r="ET58" i="1"/>
  <c r="ES58" i="1"/>
  <c r="ER58" i="1"/>
  <c r="EQ58" i="1"/>
  <c r="EP58" i="1"/>
  <c r="EO58" i="1"/>
  <c r="EN58" i="1"/>
  <c r="EW57" i="1"/>
  <c r="EV57" i="1"/>
  <c r="EU57" i="1"/>
  <c r="ET57" i="1"/>
  <c r="ES57" i="1"/>
  <c r="ER57" i="1"/>
  <c r="EQ57" i="1"/>
  <c r="EP57" i="1"/>
  <c r="EO57" i="1"/>
  <c r="EN57" i="1"/>
  <c r="EW56" i="1"/>
  <c r="EV56" i="1"/>
  <c r="EU56" i="1"/>
  <c r="ET56" i="1"/>
  <c r="ES56" i="1"/>
  <c r="ER56" i="1"/>
  <c r="EQ56" i="1"/>
  <c r="EP56" i="1"/>
  <c r="EO56" i="1"/>
  <c r="EN56" i="1"/>
  <c r="EW55" i="1"/>
  <c r="EV55" i="1"/>
  <c r="EU55" i="1"/>
  <c r="ET55" i="1"/>
  <c r="ES55" i="1"/>
  <c r="ER55" i="1"/>
  <c r="EQ55" i="1"/>
  <c r="EP55" i="1"/>
  <c r="EO55" i="1"/>
  <c r="EN55" i="1"/>
  <c r="EW54" i="1"/>
  <c r="EV54" i="1"/>
  <c r="EU54" i="1"/>
  <c r="ET54" i="1"/>
  <c r="ES54" i="1"/>
  <c r="ER54" i="1"/>
  <c r="EQ54" i="1"/>
  <c r="EP54" i="1"/>
  <c r="EO54" i="1"/>
  <c r="EN54" i="1"/>
  <c r="EW53" i="1"/>
  <c r="EV53" i="1"/>
  <c r="EU53" i="1"/>
  <c r="ET53" i="1"/>
  <c r="ES53" i="1"/>
  <c r="ER53" i="1"/>
  <c r="EQ53" i="1"/>
  <c r="EP53" i="1"/>
  <c r="EO53" i="1"/>
  <c r="EN53" i="1"/>
  <c r="EW52" i="1"/>
  <c r="EV52" i="1"/>
  <c r="EU52" i="1"/>
  <c r="ET52" i="1"/>
  <c r="ES52" i="1"/>
  <c r="ER52" i="1"/>
  <c r="EQ52" i="1"/>
  <c r="EP52" i="1"/>
  <c r="EO52" i="1"/>
  <c r="EN52" i="1"/>
  <c r="EW51" i="1"/>
  <c r="EV51" i="1"/>
  <c r="EU51" i="1"/>
  <c r="ET51" i="1"/>
  <c r="ES51" i="1"/>
  <c r="ER51" i="1"/>
  <c r="EQ51" i="1"/>
  <c r="EP51" i="1"/>
  <c r="EO51" i="1"/>
  <c r="EN51" i="1"/>
  <c r="EW50" i="1"/>
  <c r="EV50" i="1"/>
  <c r="EU50" i="1"/>
  <c r="ET50" i="1"/>
  <c r="ES50" i="1"/>
  <c r="ER50" i="1"/>
  <c r="EQ50" i="1"/>
  <c r="EP50" i="1"/>
  <c r="EO50" i="1"/>
  <c r="EN50" i="1"/>
  <c r="EW49" i="1"/>
  <c r="EV49" i="1"/>
  <c r="EU49" i="1"/>
  <c r="ET49" i="1"/>
  <c r="ES49" i="1"/>
  <c r="ER49" i="1"/>
  <c r="EQ49" i="1"/>
  <c r="EP49" i="1"/>
  <c r="EO49" i="1"/>
  <c r="EN49" i="1"/>
  <c r="EW48" i="1"/>
  <c r="EV48" i="1"/>
  <c r="EU48" i="1"/>
  <c r="ET48" i="1"/>
  <c r="ES48" i="1"/>
  <c r="ER48" i="1"/>
  <c r="EQ48" i="1"/>
  <c r="EP48" i="1"/>
  <c r="EO48" i="1"/>
  <c r="EN48" i="1"/>
  <c r="EW47" i="1"/>
  <c r="EV47" i="1"/>
  <c r="EU47" i="1"/>
  <c r="ET47" i="1"/>
  <c r="ES47" i="1"/>
  <c r="ER47" i="1"/>
  <c r="EQ47" i="1"/>
  <c r="EP47" i="1"/>
  <c r="EO47" i="1"/>
  <c r="EN47" i="1"/>
  <c r="EW46" i="1"/>
  <c r="EV46" i="1"/>
  <c r="EU46" i="1"/>
  <c r="ET46" i="1"/>
  <c r="ES46" i="1"/>
  <c r="ER46" i="1"/>
  <c r="EQ46" i="1"/>
  <c r="EP46" i="1"/>
  <c r="EO46" i="1"/>
  <c r="EN46" i="1"/>
  <c r="EW45" i="1"/>
  <c r="EV45" i="1"/>
  <c r="EU45" i="1"/>
  <c r="ET45" i="1"/>
  <c r="ES45" i="1"/>
  <c r="ER45" i="1"/>
  <c r="EQ45" i="1"/>
  <c r="EP45" i="1"/>
  <c r="EO45" i="1"/>
  <c r="EN45" i="1"/>
  <c r="EW44" i="1"/>
  <c r="EV44" i="1"/>
  <c r="EU44" i="1"/>
  <c r="ET44" i="1"/>
  <c r="ES44" i="1"/>
  <c r="ER44" i="1"/>
  <c r="EQ44" i="1"/>
  <c r="EP44" i="1"/>
  <c r="EO44" i="1"/>
  <c r="EN44" i="1"/>
  <c r="EW43" i="1"/>
  <c r="EV43" i="1"/>
  <c r="EU43" i="1"/>
  <c r="ET43" i="1"/>
  <c r="ES43" i="1"/>
  <c r="ER43" i="1"/>
  <c r="EQ43" i="1"/>
  <c r="EP43" i="1"/>
  <c r="EO43" i="1"/>
  <c r="EN43" i="1"/>
  <c r="EW42" i="1"/>
  <c r="EV42" i="1"/>
  <c r="EU42" i="1"/>
  <c r="ET42" i="1"/>
  <c r="ES42" i="1"/>
  <c r="ER42" i="1"/>
  <c r="EQ42" i="1"/>
  <c r="EP42" i="1"/>
  <c r="EO42" i="1"/>
  <c r="EN42" i="1"/>
  <c r="EW41" i="1"/>
  <c r="EV41" i="1"/>
  <c r="EU41" i="1"/>
  <c r="ET41" i="1"/>
  <c r="ES41" i="1"/>
  <c r="ER41" i="1"/>
  <c r="EQ41" i="1"/>
  <c r="EP41" i="1"/>
  <c r="EO41" i="1"/>
  <c r="EN41" i="1"/>
  <c r="EW40" i="1"/>
  <c r="EV40" i="1"/>
  <c r="EU40" i="1"/>
  <c r="ET40" i="1"/>
  <c r="ES40" i="1"/>
  <c r="ER40" i="1"/>
  <c r="EQ40" i="1"/>
  <c r="EP40" i="1"/>
  <c r="EO40" i="1"/>
  <c r="EN40" i="1"/>
  <c r="EW39" i="1"/>
  <c r="EV39" i="1"/>
  <c r="EU39" i="1"/>
  <c r="ET39" i="1"/>
  <c r="ES39" i="1"/>
  <c r="ER39" i="1"/>
  <c r="EQ39" i="1"/>
  <c r="EP39" i="1"/>
  <c r="EO39" i="1"/>
  <c r="EN39" i="1"/>
  <c r="EW38" i="1"/>
  <c r="EV38" i="1"/>
  <c r="EU38" i="1"/>
  <c r="ET38" i="1"/>
  <c r="ES38" i="1"/>
  <c r="ER38" i="1"/>
  <c r="EQ38" i="1"/>
  <c r="EP38" i="1"/>
  <c r="EO38" i="1"/>
  <c r="EN38" i="1"/>
  <c r="EW37" i="1"/>
  <c r="EV37" i="1"/>
  <c r="EU37" i="1"/>
  <c r="ET37" i="1"/>
  <c r="ES37" i="1"/>
  <c r="ER37" i="1"/>
  <c r="EQ37" i="1"/>
  <c r="EP37" i="1"/>
  <c r="EO37" i="1"/>
  <c r="EN37" i="1"/>
  <c r="EW36" i="1"/>
  <c r="EV36" i="1"/>
  <c r="EU36" i="1"/>
  <c r="ET36" i="1"/>
  <c r="ES36" i="1"/>
  <c r="ER36" i="1"/>
  <c r="EQ36" i="1"/>
  <c r="EP36" i="1"/>
  <c r="EO36" i="1"/>
  <c r="EN36" i="1"/>
  <c r="EW35" i="1"/>
  <c r="EV35" i="1"/>
  <c r="EU35" i="1"/>
  <c r="ET35" i="1"/>
  <c r="ES35" i="1"/>
  <c r="ER35" i="1"/>
  <c r="EQ35" i="1"/>
  <c r="EP35" i="1"/>
  <c r="EO35" i="1"/>
  <c r="EN35" i="1"/>
  <c r="EW34" i="1"/>
  <c r="EV34" i="1"/>
  <c r="EU34" i="1"/>
  <c r="ET34" i="1"/>
  <c r="ES34" i="1"/>
  <c r="ER34" i="1"/>
  <c r="EQ34" i="1"/>
  <c r="EP34" i="1"/>
  <c r="EO34" i="1"/>
  <c r="EN34" i="1"/>
  <c r="EW33" i="1"/>
  <c r="EV33" i="1"/>
  <c r="EU33" i="1"/>
  <c r="ET33" i="1"/>
  <c r="ES33" i="1"/>
  <c r="ER33" i="1"/>
  <c r="EQ33" i="1"/>
  <c r="EP33" i="1"/>
  <c r="EO33" i="1"/>
  <c r="EN33" i="1"/>
  <c r="EW32" i="1"/>
  <c r="EV32" i="1"/>
  <c r="EU32" i="1"/>
  <c r="ET32" i="1"/>
  <c r="ES32" i="1"/>
  <c r="ER32" i="1"/>
  <c r="EQ32" i="1"/>
  <c r="EP32" i="1"/>
  <c r="EO32" i="1"/>
  <c r="EN32" i="1"/>
  <c r="EW31" i="1"/>
  <c r="EV31" i="1"/>
  <c r="EU31" i="1"/>
  <c r="ET31" i="1"/>
  <c r="ES31" i="1"/>
  <c r="ER31" i="1"/>
  <c r="EQ31" i="1"/>
  <c r="EP31" i="1"/>
  <c r="EO31" i="1"/>
  <c r="EN31" i="1"/>
  <c r="EW30" i="1"/>
  <c r="EV30" i="1"/>
  <c r="EU30" i="1"/>
  <c r="ET30" i="1"/>
  <c r="ES30" i="1"/>
  <c r="ER30" i="1"/>
  <c r="EQ30" i="1"/>
  <c r="EP30" i="1"/>
  <c r="EO30" i="1"/>
  <c r="EN30" i="1"/>
  <c r="EW29" i="1"/>
  <c r="EV29" i="1"/>
  <c r="EU29" i="1"/>
  <c r="ET29" i="1"/>
  <c r="ES29" i="1"/>
  <c r="ER29" i="1"/>
  <c r="EQ29" i="1"/>
  <c r="EP29" i="1"/>
  <c r="EO29" i="1"/>
  <c r="EN29" i="1"/>
  <c r="EW28" i="1"/>
  <c r="EV28" i="1"/>
  <c r="EU28" i="1"/>
  <c r="ET28" i="1"/>
  <c r="ES28" i="1"/>
  <c r="ER28" i="1"/>
  <c r="EQ28" i="1"/>
  <c r="EP28" i="1"/>
  <c r="EO28" i="1"/>
  <c r="EN28" i="1"/>
  <c r="EW27" i="1"/>
  <c r="EV27" i="1"/>
  <c r="EU27" i="1"/>
  <c r="ET27" i="1"/>
  <c r="ES27" i="1"/>
  <c r="ER27" i="1"/>
  <c r="EQ27" i="1"/>
  <c r="EP27" i="1"/>
  <c r="EO27" i="1"/>
  <c r="EN27" i="1"/>
  <c r="EW26" i="1"/>
  <c r="EV26" i="1"/>
  <c r="EU26" i="1"/>
  <c r="ET26" i="1"/>
  <c r="ES26" i="1"/>
  <c r="ER26" i="1"/>
  <c r="EQ26" i="1"/>
  <c r="EP26" i="1"/>
  <c r="EO26" i="1"/>
  <c r="EN26" i="1"/>
  <c r="EW25" i="1"/>
  <c r="EV25" i="1"/>
  <c r="EU25" i="1"/>
  <c r="ET25" i="1"/>
  <c r="ES25" i="1"/>
  <c r="ER25" i="1"/>
  <c r="EQ25" i="1"/>
  <c r="EP25" i="1"/>
  <c r="EO25" i="1"/>
  <c r="EN25" i="1"/>
  <c r="EW24" i="1"/>
  <c r="EV24" i="1"/>
  <c r="EU24" i="1"/>
  <c r="ET24" i="1"/>
  <c r="ES24" i="1"/>
  <c r="ER24" i="1"/>
  <c r="EQ24" i="1"/>
  <c r="EP24" i="1"/>
  <c r="EO24" i="1"/>
  <c r="EN24" i="1"/>
  <c r="EW23" i="1"/>
  <c r="EV23" i="1"/>
  <c r="EU23" i="1"/>
  <c r="ET23" i="1"/>
  <c r="ES23" i="1"/>
  <c r="ER23" i="1"/>
  <c r="EQ23" i="1"/>
  <c r="EP23" i="1"/>
  <c r="EO23" i="1"/>
  <c r="EN23" i="1"/>
  <c r="EW22" i="1"/>
  <c r="EV22" i="1"/>
  <c r="EU22" i="1"/>
  <c r="ET22" i="1"/>
  <c r="ES22" i="1"/>
  <c r="ER22" i="1"/>
  <c r="EQ22" i="1"/>
  <c r="EP22" i="1"/>
  <c r="EO22" i="1"/>
  <c r="EN22" i="1"/>
  <c r="EW21" i="1"/>
  <c r="EV21" i="1"/>
  <c r="EU21" i="1"/>
  <c r="ET21" i="1"/>
  <c r="ES21" i="1"/>
  <c r="ER21" i="1"/>
  <c r="EQ21" i="1"/>
  <c r="EP21" i="1"/>
  <c r="EO21" i="1"/>
  <c r="EN21" i="1"/>
  <c r="EW20" i="1"/>
  <c r="EV20" i="1"/>
  <c r="EU20" i="1"/>
  <c r="ET20" i="1"/>
  <c r="ES20" i="1"/>
  <c r="ER20" i="1"/>
  <c r="EQ20" i="1"/>
  <c r="EP20" i="1"/>
  <c r="EO20" i="1"/>
  <c r="EN20" i="1"/>
  <c r="EW19" i="1"/>
  <c r="EV19" i="1"/>
  <c r="EU19" i="1"/>
  <c r="ET19" i="1"/>
  <c r="ES19" i="1"/>
  <c r="ER19" i="1"/>
  <c r="EQ19" i="1"/>
  <c r="EP19" i="1"/>
  <c r="EO19" i="1"/>
  <c r="EN19" i="1"/>
  <c r="EW18" i="1"/>
  <c r="EV18" i="1"/>
  <c r="EU18" i="1"/>
  <c r="ET18" i="1"/>
  <c r="ES18" i="1"/>
  <c r="ER18" i="1"/>
  <c r="EQ18" i="1"/>
  <c r="EP18" i="1"/>
  <c r="EO18" i="1"/>
  <c r="EN18" i="1"/>
  <c r="EW17" i="1"/>
  <c r="EV17" i="1"/>
  <c r="EU17" i="1"/>
  <c r="ET17" i="1"/>
  <c r="ES17" i="1"/>
  <c r="ER17" i="1"/>
  <c r="EQ17" i="1"/>
  <c r="EP17" i="1"/>
  <c r="EO17" i="1"/>
  <c r="EN17" i="1"/>
  <c r="EW16" i="1"/>
  <c r="EV16" i="1"/>
  <c r="EU16" i="1"/>
  <c r="ET16" i="1"/>
  <c r="ES16" i="1"/>
  <c r="ER16" i="1"/>
  <c r="EQ16" i="1"/>
  <c r="EP16" i="1"/>
  <c r="EO16" i="1"/>
  <c r="EN16" i="1"/>
  <c r="EW15" i="1"/>
  <c r="EV15" i="1"/>
  <c r="EU15" i="1"/>
  <c r="ET15" i="1"/>
  <c r="ES15" i="1"/>
  <c r="ER15" i="1"/>
  <c r="EQ15" i="1"/>
  <c r="EP15" i="1"/>
  <c r="EO15" i="1"/>
  <c r="EN15" i="1"/>
  <c r="EW14" i="1"/>
  <c r="EV14" i="1"/>
  <c r="EU14" i="1"/>
  <c r="ET14" i="1"/>
  <c r="ES14" i="1"/>
  <c r="ER14" i="1"/>
  <c r="EQ14" i="1"/>
  <c r="EP14" i="1"/>
  <c r="EO14" i="1"/>
  <c r="EN14" i="1"/>
  <c r="EW13" i="1"/>
  <c r="EV13" i="1"/>
  <c r="EU13" i="1"/>
  <c r="ET13" i="1"/>
  <c r="ES13" i="1"/>
  <c r="ER13" i="1"/>
  <c r="EQ13" i="1"/>
  <c r="EP13" i="1"/>
  <c r="EO13" i="1"/>
  <c r="EN13" i="1"/>
  <c r="EW12" i="1"/>
  <c r="EV12" i="1"/>
  <c r="EU12" i="1"/>
  <c r="ET12" i="1"/>
  <c r="ES12" i="1"/>
  <c r="ER12" i="1"/>
  <c r="EQ12" i="1"/>
  <c r="EP12" i="1"/>
  <c r="EO12" i="1"/>
  <c r="EN12" i="1"/>
  <c r="EW11" i="1"/>
  <c r="EV11" i="1"/>
  <c r="EU11" i="1"/>
  <c r="ET11" i="1"/>
  <c r="ES11" i="1"/>
  <c r="ER11" i="1"/>
  <c r="EQ11" i="1"/>
  <c r="EP11" i="1"/>
  <c r="EO11" i="1"/>
  <c r="EN11" i="1"/>
  <c r="EW10" i="1"/>
  <c r="EV10" i="1"/>
  <c r="EU10" i="1"/>
  <c r="ET10" i="1"/>
  <c r="ES10" i="1"/>
  <c r="ER10" i="1"/>
  <c r="EQ10" i="1"/>
  <c r="EP10" i="1"/>
  <c r="EO10" i="1"/>
  <c r="EN10" i="1"/>
  <c r="EW9" i="1"/>
  <c r="EV9" i="1"/>
  <c r="EU9" i="1"/>
  <c r="ET9" i="1"/>
  <c r="ES9" i="1"/>
  <c r="ER9" i="1"/>
  <c r="EQ9" i="1"/>
  <c r="EP9" i="1"/>
  <c r="EO9" i="1"/>
  <c r="EN9" i="1"/>
  <c r="EW8" i="1"/>
  <c r="EV8" i="1"/>
  <c r="EU8" i="1"/>
  <c r="ET8" i="1"/>
  <c r="ES8" i="1"/>
  <c r="ER8" i="1"/>
  <c r="EQ8" i="1"/>
  <c r="EP8" i="1"/>
  <c r="EO8" i="1"/>
  <c r="EN8" i="1"/>
  <c r="EW7" i="1"/>
  <c r="EV7" i="1"/>
  <c r="EU7" i="1"/>
  <c r="ET7" i="1"/>
  <c r="ES7" i="1"/>
  <c r="ER7" i="1"/>
  <c r="EQ7" i="1"/>
  <c r="EP7" i="1"/>
  <c r="EO7" i="1"/>
  <c r="EN7" i="1"/>
  <c r="EW6" i="1"/>
  <c r="EV6" i="1"/>
  <c r="EU6" i="1"/>
  <c r="ET6" i="1"/>
  <c r="ES6" i="1"/>
  <c r="ER6" i="1"/>
  <c r="EQ6" i="1"/>
  <c r="EP6" i="1"/>
  <c r="EO6" i="1"/>
  <c r="EN6" i="1"/>
  <c r="EW5" i="1"/>
  <c r="EV5" i="1"/>
  <c r="EU5" i="1"/>
  <c r="ET5" i="1"/>
  <c r="ES5" i="1"/>
  <c r="ER5" i="1"/>
  <c r="EW4" i="1"/>
  <c r="EV4" i="1"/>
  <c r="EU4" i="1"/>
  <c r="ET4" i="1"/>
  <c r="ES4" i="1"/>
  <c r="ER4" i="1"/>
  <c r="EQ4" i="1"/>
  <c r="EP4" i="1"/>
  <c r="EO4" i="1"/>
  <c r="EN4" i="1"/>
  <c r="EW3" i="1"/>
  <c r="EV3" i="1"/>
  <c r="EU3" i="1"/>
  <c r="ET3" i="1"/>
  <c r="ES3" i="1"/>
  <c r="ER3" i="1"/>
  <c r="EQ3" i="1"/>
  <c r="EP3" i="1"/>
  <c r="EO3" i="1"/>
  <c r="EN3" i="1"/>
  <c r="EW2" i="1"/>
  <c r="EV2" i="1"/>
  <c r="EU2" i="1"/>
  <c r="ET2" i="1"/>
  <c r="ES2" i="1"/>
  <c r="ER2" i="1"/>
  <c r="EQ2" i="1"/>
  <c r="EP2" i="1"/>
  <c r="EO2" i="1"/>
  <c r="EN2" i="1"/>
  <c r="EM234" i="1"/>
  <c r="EL234" i="1"/>
  <c r="EK234" i="1"/>
  <c r="EJ234" i="1"/>
  <c r="EI234" i="1"/>
  <c r="EH234" i="1"/>
  <c r="EG234" i="1"/>
  <c r="EF234" i="1"/>
  <c r="EE234" i="1"/>
  <c r="ED234" i="1"/>
  <c r="EM233" i="1"/>
  <c r="EL233" i="1"/>
  <c r="EK233" i="1"/>
  <c r="EJ233" i="1"/>
  <c r="EI233" i="1"/>
  <c r="EH233" i="1"/>
  <c r="EG233" i="1"/>
  <c r="EF233" i="1"/>
  <c r="EE233" i="1"/>
  <c r="ED233" i="1"/>
  <c r="EM232" i="1"/>
  <c r="EL232" i="1"/>
  <c r="EK232" i="1"/>
  <c r="EJ232" i="1"/>
  <c r="EI232" i="1"/>
  <c r="EH232" i="1"/>
  <c r="EG232" i="1"/>
  <c r="EF232" i="1"/>
  <c r="EE232" i="1"/>
  <c r="ED232" i="1"/>
  <c r="EM231" i="1"/>
  <c r="EL231" i="1"/>
  <c r="EK231" i="1"/>
  <c r="EJ231" i="1"/>
  <c r="EI231" i="1"/>
  <c r="EH231" i="1"/>
  <c r="EG231" i="1"/>
  <c r="EF231" i="1"/>
  <c r="EE231" i="1"/>
  <c r="ED231" i="1"/>
  <c r="EM230" i="1"/>
  <c r="EL230" i="1"/>
  <c r="EK230" i="1"/>
  <c r="EJ230" i="1"/>
  <c r="EI230" i="1"/>
  <c r="EH230" i="1"/>
  <c r="EG230" i="1"/>
  <c r="EF230" i="1"/>
  <c r="EE230" i="1"/>
  <c r="ED230" i="1"/>
  <c r="EM229" i="1"/>
  <c r="EL229" i="1"/>
  <c r="EK229" i="1"/>
  <c r="EJ229" i="1"/>
  <c r="EI229" i="1"/>
  <c r="EH229" i="1"/>
  <c r="EG229" i="1"/>
  <c r="EF229" i="1"/>
  <c r="EE229" i="1"/>
  <c r="ED229" i="1"/>
  <c r="EM228" i="1"/>
  <c r="EL228" i="1"/>
  <c r="EK228" i="1"/>
  <c r="EJ228" i="1"/>
  <c r="EI228" i="1"/>
  <c r="EH228" i="1"/>
  <c r="EG228" i="1"/>
  <c r="EF228" i="1"/>
  <c r="EE228" i="1"/>
  <c r="ED228" i="1"/>
  <c r="EM227" i="1"/>
  <c r="EL227" i="1"/>
  <c r="EK227" i="1"/>
  <c r="EJ227" i="1"/>
  <c r="EI227" i="1"/>
  <c r="EH227" i="1"/>
  <c r="EG227" i="1"/>
  <c r="EF227" i="1"/>
  <c r="EE227" i="1"/>
  <c r="ED227" i="1"/>
  <c r="EM226" i="1"/>
  <c r="EL226" i="1"/>
  <c r="EK226" i="1"/>
  <c r="EJ226" i="1"/>
  <c r="EI226" i="1"/>
  <c r="EH226" i="1"/>
  <c r="EG226" i="1"/>
  <c r="EF226" i="1"/>
  <c r="EE226" i="1"/>
  <c r="ED226" i="1"/>
  <c r="EM225" i="1"/>
  <c r="EL225" i="1"/>
  <c r="EK225" i="1"/>
  <c r="EJ225" i="1"/>
  <c r="EI225" i="1"/>
  <c r="EH225" i="1"/>
  <c r="EG225" i="1"/>
  <c r="EF225" i="1"/>
  <c r="EE225" i="1"/>
  <c r="ED225" i="1"/>
  <c r="EM224" i="1"/>
  <c r="EL224" i="1"/>
  <c r="EK224" i="1"/>
  <c r="EJ224" i="1"/>
  <c r="EI224" i="1"/>
  <c r="EH224" i="1"/>
  <c r="EG224" i="1"/>
  <c r="EF224" i="1"/>
  <c r="EE224" i="1"/>
  <c r="ED224" i="1"/>
  <c r="EM223" i="1"/>
  <c r="EL223" i="1"/>
  <c r="EK223" i="1"/>
  <c r="EJ223" i="1"/>
  <c r="EI223" i="1"/>
  <c r="EH223" i="1"/>
  <c r="EG223" i="1"/>
  <c r="EF223" i="1"/>
  <c r="EE223" i="1"/>
  <c r="ED223" i="1"/>
  <c r="EM222" i="1"/>
  <c r="EL222" i="1"/>
  <c r="EK222" i="1"/>
  <c r="EJ222" i="1"/>
  <c r="EI222" i="1"/>
  <c r="EH222" i="1"/>
  <c r="EG222" i="1"/>
  <c r="EF222" i="1"/>
  <c r="EE222" i="1"/>
  <c r="ED222" i="1"/>
  <c r="EM221" i="1"/>
  <c r="EL221" i="1"/>
  <c r="EK221" i="1"/>
  <c r="EJ221" i="1"/>
  <c r="EI221" i="1"/>
  <c r="EH221" i="1"/>
  <c r="EG221" i="1"/>
  <c r="EF221" i="1"/>
  <c r="EE221" i="1"/>
  <c r="ED221" i="1"/>
  <c r="EM220" i="1"/>
  <c r="EL220" i="1"/>
  <c r="EK220" i="1"/>
  <c r="EJ220" i="1"/>
  <c r="EI220" i="1"/>
  <c r="EH220" i="1"/>
  <c r="EG220" i="1"/>
  <c r="EF220" i="1"/>
  <c r="EE220" i="1"/>
  <c r="ED220" i="1"/>
  <c r="EM219" i="1"/>
  <c r="EL219" i="1"/>
  <c r="EK219" i="1"/>
  <c r="EJ219" i="1"/>
  <c r="EI219" i="1"/>
  <c r="EH219" i="1"/>
  <c r="EG219" i="1"/>
  <c r="EF219" i="1"/>
  <c r="EE219" i="1"/>
  <c r="ED219" i="1"/>
  <c r="EM218" i="1"/>
  <c r="EL218" i="1"/>
  <c r="EK218" i="1"/>
  <c r="EJ218" i="1"/>
  <c r="EI218" i="1"/>
  <c r="EH218" i="1"/>
  <c r="EG218" i="1"/>
  <c r="EF218" i="1"/>
  <c r="EE218" i="1"/>
  <c r="ED218" i="1"/>
  <c r="EM217" i="1"/>
  <c r="EL217" i="1"/>
  <c r="EK217" i="1"/>
  <c r="EJ217" i="1"/>
  <c r="EI217" i="1"/>
  <c r="EH217" i="1"/>
  <c r="EG217" i="1"/>
  <c r="EF217" i="1"/>
  <c r="EE217" i="1"/>
  <c r="ED217" i="1"/>
  <c r="EM216" i="1"/>
  <c r="EL216" i="1"/>
  <c r="EK216" i="1"/>
  <c r="EJ216" i="1"/>
  <c r="EI216" i="1"/>
  <c r="EH216" i="1"/>
  <c r="EG216" i="1"/>
  <c r="EF216" i="1"/>
  <c r="EE216" i="1"/>
  <c r="ED216" i="1"/>
  <c r="EM215" i="1"/>
  <c r="EL215" i="1"/>
  <c r="EK215" i="1"/>
  <c r="EJ215" i="1"/>
  <c r="EI215" i="1"/>
  <c r="EH215" i="1"/>
  <c r="EG215" i="1"/>
  <c r="EF215" i="1"/>
  <c r="EE215" i="1"/>
  <c r="ED215" i="1"/>
  <c r="EM214" i="1"/>
  <c r="EL214" i="1"/>
  <c r="EK214" i="1"/>
  <c r="EJ214" i="1"/>
  <c r="EI214" i="1"/>
  <c r="EH214" i="1"/>
  <c r="EG214" i="1"/>
  <c r="EF214" i="1"/>
  <c r="EE214" i="1"/>
  <c r="ED214" i="1"/>
  <c r="EM213" i="1"/>
  <c r="EL213" i="1"/>
  <c r="EK213" i="1"/>
  <c r="EJ213" i="1"/>
  <c r="EI213" i="1"/>
  <c r="EH213" i="1"/>
  <c r="EG213" i="1"/>
  <c r="EF213" i="1"/>
  <c r="EE213" i="1"/>
  <c r="ED213" i="1"/>
  <c r="EM212" i="1"/>
  <c r="EL212" i="1"/>
  <c r="EK212" i="1"/>
  <c r="EJ212" i="1"/>
  <c r="EI212" i="1"/>
  <c r="EH212" i="1"/>
  <c r="EG212" i="1"/>
  <c r="EF212" i="1"/>
  <c r="EE212" i="1"/>
  <c r="ED212" i="1"/>
  <c r="EM211" i="1"/>
  <c r="EL211" i="1"/>
  <c r="EK211" i="1"/>
  <c r="EJ211" i="1"/>
  <c r="EI211" i="1"/>
  <c r="EH211" i="1"/>
  <c r="EG211" i="1"/>
  <c r="EF211" i="1"/>
  <c r="EE211" i="1"/>
  <c r="ED211" i="1"/>
  <c r="EM210" i="1"/>
  <c r="EL210" i="1"/>
  <c r="EK210" i="1"/>
  <c r="EJ210" i="1"/>
  <c r="EI210" i="1"/>
  <c r="EH210" i="1"/>
  <c r="EG210" i="1"/>
  <c r="EF210" i="1"/>
  <c r="EE210" i="1"/>
  <c r="ED210" i="1"/>
  <c r="EM209" i="1"/>
  <c r="EL209" i="1"/>
  <c r="EK209" i="1"/>
  <c r="EJ209" i="1"/>
  <c r="EI209" i="1"/>
  <c r="EH209" i="1"/>
  <c r="EG209" i="1"/>
  <c r="EF209" i="1"/>
  <c r="EE209" i="1"/>
  <c r="ED209" i="1"/>
  <c r="EM208" i="1"/>
  <c r="EL208" i="1"/>
  <c r="EK208" i="1"/>
  <c r="EJ208" i="1"/>
  <c r="EI208" i="1"/>
  <c r="EH208" i="1"/>
  <c r="EG208" i="1"/>
  <c r="EF208" i="1"/>
  <c r="EE208" i="1"/>
  <c r="ED208" i="1"/>
  <c r="EM207" i="1"/>
  <c r="EL207" i="1"/>
  <c r="EK207" i="1"/>
  <c r="EJ207" i="1"/>
  <c r="EI207" i="1"/>
  <c r="EH207" i="1"/>
  <c r="EG207" i="1"/>
  <c r="EF207" i="1"/>
  <c r="EE207" i="1"/>
  <c r="ED207" i="1"/>
  <c r="EM206" i="1"/>
  <c r="EL206" i="1"/>
  <c r="EK206" i="1"/>
  <c r="EJ206" i="1"/>
  <c r="EI206" i="1"/>
  <c r="EH206" i="1"/>
  <c r="EG206" i="1"/>
  <c r="EF206" i="1"/>
  <c r="EE206" i="1"/>
  <c r="ED206" i="1"/>
  <c r="EM205" i="1"/>
  <c r="EL205" i="1"/>
  <c r="EK205" i="1"/>
  <c r="EJ205" i="1"/>
  <c r="EI205" i="1"/>
  <c r="EH205" i="1"/>
  <c r="EG205" i="1"/>
  <c r="EF205" i="1"/>
  <c r="EE205" i="1"/>
  <c r="ED205" i="1"/>
  <c r="EM204" i="1"/>
  <c r="EL204" i="1"/>
  <c r="EK204" i="1"/>
  <c r="EJ204" i="1"/>
  <c r="EI204" i="1"/>
  <c r="EH204" i="1"/>
  <c r="EG204" i="1"/>
  <c r="EF204" i="1"/>
  <c r="EE204" i="1"/>
  <c r="ED204" i="1"/>
  <c r="EM203" i="1"/>
  <c r="EL203" i="1"/>
  <c r="EK203" i="1"/>
  <c r="EJ203" i="1"/>
  <c r="EI203" i="1"/>
  <c r="EH203" i="1"/>
  <c r="EG203" i="1"/>
  <c r="EF203" i="1"/>
  <c r="EE203" i="1"/>
  <c r="ED203" i="1"/>
  <c r="EM202" i="1"/>
  <c r="EL202" i="1"/>
  <c r="EK202" i="1"/>
  <c r="EJ202" i="1"/>
  <c r="EI202" i="1"/>
  <c r="EH202" i="1"/>
  <c r="EG202" i="1"/>
  <c r="EF202" i="1"/>
  <c r="EE202" i="1"/>
  <c r="ED202" i="1"/>
  <c r="EM201" i="1"/>
  <c r="EL201" i="1"/>
  <c r="EK201" i="1"/>
  <c r="EJ201" i="1"/>
  <c r="EI201" i="1"/>
  <c r="EH201" i="1"/>
  <c r="EG201" i="1"/>
  <c r="EF201" i="1"/>
  <c r="EE201" i="1"/>
  <c r="ED201" i="1"/>
  <c r="EM200" i="1"/>
  <c r="EL200" i="1"/>
  <c r="EK200" i="1"/>
  <c r="EJ200" i="1"/>
  <c r="EI200" i="1"/>
  <c r="EH200" i="1"/>
  <c r="EG200" i="1"/>
  <c r="EF200" i="1"/>
  <c r="EE200" i="1"/>
  <c r="ED200" i="1"/>
  <c r="EM199" i="1"/>
  <c r="EL199" i="1"/>
  <c r="EK199" i="1"/>
  <c r="EJ199" i="1"/>
  <c r="EI199" i="1"/>
  <c r="EH199" i="1"/>
  <c r="EG199" i="1"/>
  <c r="EF199" i="1"/>
  <c r="EE199" i="1"/>
  <c r="ED199" i="1"/>
  <c r="EM198" i="1"/>
  <c r="EL198" i="1"/>
  <c r="EK198" i="1"/>
  <c r="EJ198" i="1"/>
  <c r="EI198" i="1"/>
  <c r="EH198" i="1"/>
  <c r="EG198" i="1"/>
  <c r="EF198" i="1"/>
  <c r="EE198" i="1"/>
  <c r="ED198" i="1"/>
  <c r="EM197" i="1"/>
  <c r="EL197" i="1"/>
  <c r="EK197" i="1"/>
  <c r="EJ197" i="1"/>
  <c r="EI197" i="1"/>
  <c r="EH197" i="1"/>
  <c r="EG197" i="1"/>
  <c r="EF197" i="1"/>
  <c r="EE197" i="1"/>
  <c r="ED197" i="1"/>
  <c r="EM196" i="1"/>
  <c r="EL196" i="1"/>
  <c r="EK196" i="1"/>
  <c r="EJ196" i="1"/>
  <c r="EI196" i="1"/>
  <c r="EH196" i="1"/>
  <c r="EG196" i="1"/>
  <c r="EF196" i="1"/>
  <c r="EE196" i="1"/>
  <c r="ED196" i="1"/>
  <c r="EM195" i="1"/>
  <c r="EL195" i="1"/>
  <c r="EK195" i="1"/>
  <c r="EJ195" i="1"/>
  <c r="EI195" i="1"/>
  <c r="EH195" i="1"/>
  <c r="EG195" i="1"/>
  <c r="EF195" i="1"/>
  <c r="EE195" i="1"/>
  <c r="ED195" i="1"/>
  <c r="EM194" i="1"/>
  <c r="EL194" i="1"/>
  <c r="EK194" i="1"/>
  <c r="EJ194" i="1"/>
  <c r="EI194" i="1"/>
  <c r="EH194" i="1"/>
  <c r="EG194" i="1"/>
  <c r="EF194" i="1"/>
  <c r="EE194" i="1"/>
  <c r="ED194" i="1"/>
  <c r="EM193" i="1"/>
  <c r="EL193" i="1"/>
  <c r="EK193" i="1"/>
  <c r="EJ193" i="1"/>
  <c r="EI193" i="1"/>
  <c r="EH193" i="1"/>
  <c r="EG193" i="1"/>
  <c r="EF193" i="1"/>
  <c r="EE193" i="1"/>
  <c r="ED193" i="1"/>
  <c r="EM192" i="1"/>
  <c r="EL192" i="1"/>
  <c r="EK192" i="1"/>
  <c r="EJ192" i="1"/>
  <c r="EI192" i="1"/>
  <c r="EH192" i="1"/>
  <c r="EG192" i="1"/>
  <c r="EF192" i="1"/>
  <c r="EE192" i="1"/>
  <c r="ED192" i="1"/>
  <c r="EM191" i="1"/>
  <c r="EL191" i="1"/>
  <c r="EK191" i="1"/>
  <c r="EJ191" i="1"/>
  <c r="EI191" i="1"/>
  <c r="EH191" i="1"/>
  <c r="EG191" i="1"/>
  <c r="EF191" i="1"/>
  <c r="EE191" i="1"/>
  <c r="ED191" i="1"/>
  <c r="EM190" i="1"/>
  <c r="EL190" i="1"/>
  <c r="EK190" i="1"/>
  <c r="EJ190" i="1"/>
  <c r="EI190" i="1"/>
  <c r="EH190" i="1"/>
  <c r="EG190" i="1"/>
  <c r="EF190" i="1"/>
  <c r="EE190" i="1"/>
  <c r="ED190" i="1"/>
  <c r="EM189" i="1"/>
  <c r="EL189" i="1"/>
  <c r="EK189" i="1"/>
  <c r="EJ189" i="1"/>
  <c r="EI189" i="1"/>
  <c r="EH189" i="1"/>
  <c r="EG189" i="1"/>
  <c r="EF189" i="1"/>
  <c r="EE189" i="1"/>
  <c r="ED189" i="1"/>
  <c r="EM188" i="1"/>
  <c r="EL188" i="1"/>
  <c r="EK188" i="1"/>
  <c r="EJ188" i="1"/>
  <c r="EI188" i="1"/>
  <c r="EH188" i="1"/>
  <c r="EG188" i="1"/>
  <c r="EF188" i="1"/>
  <c r="EE188" i="1"/>
  <c r="ED188" i="1"/>
  <c r="EM187" i="1"/>
  <c r="EL187" i="1"/>
  <c r="EK187" i="1"/>
  <c r="EJ187" i="1"/>
  <c r="EI187" i="1"/>
  <c r="EH187" i="1"/>
  <c r="EG187" i="1"/>
  <c r="EF187" i="1"/>
  <c r="EE187" i="1"/>
  <c r="ED187" i="1"/>
  <c r="EM186" i="1"/>
  <c r="EL186" i="1"/>
  <c r="EK186" i="1"/>
  <c r="EJ186" i="1"/>
  <c r="EI186" i="1"/>
  <c r="EH186" i="1"/>
  <c r="EG186" i="1"/>
  <c r="EF186" i="1"/>
  <c r="EE186" i="1"/>
  <c r="ED186" i="1"/>
  <c r="EM185" i="1"/>
  <c r="EL185" i="1"/>
  <c r="EK185" i="1"/>
  <c r="EJ185" i="1"/>
  <c r="EI185" i="1"/>
  <c r="EH185" i="1"/>
  <c r="EG185" i="1"/>
  <c r="EF185" i="1"/>
  <c r="EE185" i="1"/>
  <c r="ED185" i="1"/>
  <c r="EM184" i="1"/>
  <c r="EL184" i="1"/>
  <c r="EK184" i="1"/>
  <c r="EJ184" i="1"/>
  <c r="EI184" i="1"/>
  <c r="EH184" i="1"/>
  <c r="EG184" i="1"/>
  <c r="EF184" i="1"/>
  <c r="EE184" i="1"/>
  <c r="ED184" i="1"/>
  <c r="EM183" i="1"/>
  <c r="EL183" i="1"/>
  <c r="EK183" i="1"/>
  <c r="EJ183" i="1"/>
  <c r="EI183" i="1"/>
  <c r="EH183" i="1"/>
  <c r="EG183" i="1"/>
  <c r="EF183" i="1"/>
  <c r="EE183" i="1"/>
  <c r="ED183" i="1"/>
  <c r="EM182" i="1"/>
  <c r="EL182" i="1"/>
  <c r="EK182" i="1"/>
  <c r="EJ182" i="1"/>
  <c r="EI182" i="1"/>
  <c r="EH182" i="1"/>
  <c r="EG182" i="1"/>
  <c r="EF182" i="1"/>
  <c r="EE182" i="1"/>
  <c r="ED182" i="1"/>
  <c r="EM181" i="1"/>
  <c r="EL181" i="1"/>
  <c r="EK181" i="1"/>
  <c r="EJ181" i="1"/>
  <c r="EI181" i="1"/>
  <c r="EH181" i="1"/>
  <c r="EG181" i="1"/>
  <c r="EF181" i="1"/>
  <c r="EE181" i="1"/>
  <c r="ED181" i="1"/>
  <c r="EM180" i="1"/>
  <c r="EL180" i="1"/>
  <c r="EK180" i="1"/>
  <c r="EJ180" i="1"/>
  <c r="EI180" i="1"/>
  <c r="EH180" i="1"/>
  <c r="EG180" i="1"/>
  <c r="EF180" i="1"/>
  <c r="EE180" i="1"/>
  <c r="ED180" i="1"/>
  <c r="EM179" i="1"/>
  <c r="EL179" i="1"/>
  <c r="EK179" i="1"/>
  <c r="EJ179" i="1"/>
  <c r="EI179" i="1"/>
  <c r="EH179" i="1"/>
  <c r="EG179" i="1"/>
  <c r="EF179" i="1"/>
  <c r="EE179" i="1"/>
  <c r="ED179" i="1"/>
  <c r="EM178" i="1"/>
  <c r="EL178" i="1"/>
  <c r="EK178" i="1"/>
  <c r="EJ178" i="1"/>
  <c r="EI178" i="1"/>
  <c r="EH178" i="1"/>
  <c r="EG178" i="1"/>
  <c r="EF178" i="1"/>
  <c r="EE178" i="1"/>
  <c r="ED178" i="1"/>
  <c r="EM177" i="1"/>
  <c r="EL177" i="1"/>
  <c r="EK177" i="1"/>
  <c r="EJ177" i="1"/>
  <c r="EI177" i="1"/>
  <c r="EH177" i="1"/>
  <c r="EG177" i="1"/>
  <c r="EF177" i="1"/>
  <c r="EE177" i="1"/>
  <c r="ED177" i="1"/>
  <c r="EM176" i="1"/>
  <c r="EL176" i="1"/>
  <c r="EK176" i="1"/>
  <c r="EJ176" i="1"/>
  <c r="EI176" i="1"/>
  <c r="EH176" i="1"/>
  <c r="EG176" i="1"/>
  <c r="EF176" i="1"/>
  <c r="EE176" i="1"/>
  <c r="ED176" i="1"/>
  <c r="EM175" i="1"/>
  <c r="EL175" i="1"/>
  <c r="EK175" i="1"/>
  <c r="EJ175" i="1"/>
  <c r="EI175" i="1"/>
  <c r="EH175" i="1"/>
  <c r="EG175" i="1"/>
  <c r="EF175" i="1"/>
  <c r="EE175" i="1"/>
  <c r="ED175" i="1"/>
  <c r="EM174" i="1"/>
  <c r="EL174" i="1"/>
  <c r="EK174" i="1"/>
  <c r="EJ174" i="1"/>
  <c r="EI174" i="1"/>
  <c r="EH174" i="1"/>
  <c r="EG174" i="1"/>
  <c r="EF174" i="1"/>
  <c r="EE174" i="1"/>
  <c r="ED174" i="1"/>
  <c r="EM173" i="1"/>
  <c r="EL173" i="1"/>
  <c r="EK173" i="1"/>
  <c r="EJ173" i="1"/>
  <c r="EI173" i="1"/>
  <c r="EH173" i="1"/>
  <c r="EG173" i="1"/>
  <c r="EF173" i="1"/>
  <c r="EE173" i="1"/>
  <c r="ED173" i="1"/>
  <c r="EM172" i="1"/>
  <c r="EL172" i="1"/>
  <c r="EK172" i="1"/>
  <c r="EJ172" i="1"/>
  <c r="EI172" i="1"/>
  <c r="EH172" i="1"/>
  <c r="EG172" i="1"/>
  <c r="EF172" i="1"/>
  <c r="EE172" i="1"/>
  <c r="ED172" i="1"/>
  <c r="EM171" i="1"/>
  <c r="EL171" i="1"/>
  <c r="EK171" i="1"/>
  <c r="EJ171" i="1"/>
  <c r="EI171" i="1"/>
  <c r="EH171" i="1"/>
  <c r="EG171" i="1"/>
  <c r="EF171" i="1"/>
  <c r="EE171" i="1"/>
  <c r="ED171" i="1"/>
  <c r="EM170" i="1"/>
  <c r="EL170" i="1"/>
  <c r="EK170" i="1"/>
  <c r="EJ170" i="1"/>
  <c r="EI170" i="1"/>
  <c r="EH170" i="1"/>
  <c r="EG170" i="1"/>
  <c r="EF170" i="1"/>
  <c r="EE170" i="1"/>
  <c r="ED170" i="1"/>
  <c r="EM169" i="1"/>
  <c r="EL169" i="1"/>
  <c r="EK169" i="1"/>
  <c r="EJ169" i="1"/>
  <c r="EI169" i="1"/>
  <c r="EH169" i="1"/>
  <c r="EG169" i="1"/>
  <c r="EF169" i="1"/>
  <c r="EE169" i="1"/>
  <c r="ED169" i="1"/>
  <c r="EM168" i="1"/>
  <c r="EL168" i="1"/>
  <c r="EK168" i="1"/>
  <c r="EJ168" i="1"/>
  <c r="EI168" i="1"/>
  <c r="EH168" i="1"/>
  <c r="EG168" i="1"/>
  <c r="EF168" i="1"/>
  <c r="EE168" i="1"/>
  <c r="ED168" i="1"/>
  <c r="EM167" i="1"/>
  <c r="EL167" i="1"/>
  <c r="EK167" i="1"/>
  <c r="EJ167" i="1"/>
  <c r="EI167" i="1"/>
  <c r="EH167" i="1"/>
  <c r="EG167" i="1"/>
  <c r="EM166" i="1"/>
  <c r="EL166" i="1"/>
  <c r="EK166" i="1"/>
  <c r="EJ166" i="1"/>
  <c r="EI166" i="1"/>
  <c r="EH166" i="1"/>
  <c r="EG166" i="1"/>
  <c r="EF166" i="1"/>
  <c r="EM165" i="1"/>
  <c r="EL165" i="1"/>
  <c r="EK165" i="1"/>
  <c r="EJ165" i="1"/>
  <c r="EI165" i="1"/>
  <c r="EH165" i="1"/>
  <c r="EG165" i="1"/>
  <c r="EF165" i="1"/>
  <c r="EM164" i="1"/>
  <c r="EL164" i="1"/>
  <c r="EK164" i="1"/>
  <c r="EJ164" i="1"/>
  <c r="EI164" i="1"/>
  <c r="EH164" i="1"/>
  <c r="EG164" i="1"/>
  <c r="EF164" i="1"/>
  <c r="EE164" i="1"/>
  <c r="ED164" i="1"/>
  <c r="EM163" i="1"/>
  <c r="EL163" i="1"/>
  <c r="EK163" i="1"/>
  <c r="EJ163" i="1"/>
  <c r="EI163" i="1"/>
  <c r="EH163" i="1"/>
  <c r="EG163" i="1"/>
  <c r="EF163" i="1"/>
  <c r="EE163" i="1"/>
  <c r="ED163" i="1"/>
  <c r="EM162" i="1"/>
  <c r="EL162" i="1"/>
  <c r="EK162" i="1"/>
  <c r="EJ162" i="1"/>
  <c r="EI162" i="1"/>
  <c r="EH162" i="1"/>
  <c r="EG162" i="1"/>
  <c r="EF162" i="1"/>
  <c r="EE162" i="1"/>
  <c r="ED162" i="1"/>
  <c r="EM161" i="1"/>
  <c r="EL161" i="1"/>
  <c r="EK161" i="1"/>
  <c r="EJ161" i="1"/>
  <c r="EI161" i="1"/>
  <c r="EH161" i="1"/>
  <c r="EG161" i="1"/>
  <c r="EF161" i="1"/>
  <c r="EE161" i="1"/>
  <c r="ED161" i="1"/>
  <c r="EM160" i="1"/>
  <c r="EL160" i="1"/>
  <c r="EK160" i="1"/>
  <c r="EJ160" i="1"/>
  <c r="EI160" i="1"/>
  <c r="EH160" i="1"/>
  <c r="EG160" i="1"/>
  <c r="EF160" i="1"/>
  <c r="EE160" i="1"/>
  <c r="ED160" i="1"/>
  <c r="EM159" i="1"/>
  <c r="EL159" i="1"/>
  <c r="EK159" i="1"/>
  <c r="EJ159" i="1"/>
  <c r="EI159" i="1"/>
  <c r="EH159" i="1"/>
  <c r="EG159" i="1"/>
  <c r="EF159" i="1"/>
  <c r="EE159" i="1"/>
  <c r="ED159" i="1"/>
  <c r="EM158" i="1"/>
  <c r="EL158" i="1"/>
  <c r="EK158" i="1"/>
  <c r="EJ158" i="1"/>
  <c r="EI158" i="1"/>
  <c r="EH158" i="1"/>
  <c r="EG158" i="1"/>
  <c r="EF158" i="1"/>
  <c r="EE158" i="1"/>
  <c r="ED158" i="1"/>
  <c r="EM157" i="1"/>
  <c r="EL157" i="1"/>
  <c r="EK157" i="1"/>
  <c r="EJ157" i="1"/>
  <c r="EI157" i="1"/>
  <c r="EH157" i="1"/>
  <c r="EG157" i="1"/>
  <c r="EF157" i="1"/>
  <c r="EE157" i="1"/>
  <c r="ED157" i="1"/>
  <c r="EM156" i="1"/>
  <c r="EL156" i="1"/>
  <c r="EK156" i="1"/>
  <c r="EJ156" i="1"/>
  <c r="EI156" i="1"/>
  <c r="EH156" i="1"/>
  <c r="EG156" i="1"/>
  <c r="EF156" i="1"/>
  <c r="EE156" i="1"/>
  <c r="ED156" i="1"/>
  <c r="EM155" i="1"/>
  <c r="EL155" i="1"/>
  <c r="EK155" i="1"/>
  <c r="EJ155" i="1"/>
  <c r="EI155" i="1"/>
  <c r="EH155" i="1"/>
  <c r="EG155" i="1"/>
  <c r="EF155" i="1"/>
  <c r="EE155" i="1"/>
  <c r="ED155" i="1"/>
  <c r="EM154" i="1"/>
  <c r="EL154" i="1"/>
  <c r="EK154" i="1"/>
  <c r="EJ154" i="1"/>
  <c r="EI154" i="1"/>
  <c r="EH154" i="1"/>
  <c r="EG154" i="1"/>
  <c r="EF154" i="1"/>
  <c r="EE154" i="1"/>
  <c r="ED154" i="1"/>
  <c r="EM153" i="1"/>
  <c r="EL153" i="1"/>
  <c r="EK153" i="1"/>
  <c r="EJ153" i="1"/>
  <c r="EI153" i="1"/>
  <c r="EH153" i="1"/>
  <c r="EG153" i="1"/>
  <c r="EF153" i="1"/>
  <c r="EM152" i="1"/>
  <c r="EL152" i="1"/>
  <c r="EK152" i="1"/>
  <c r="EJ152" i="1"/>
  <c r="EI152" i="1"/>
  <c r="EH152" i="1"/>
  <c r="EG152" i="1"/>
  <c r="EF152" i="1"/>
  <c r="EM151" i="1"/>
  <c r="EL151" i="1"/>
  <c r="EK151" i="1"/>
  <c r="EJ151" i="1"/>
  <c r="EI151" i="1"/>
  <c r="EH151" i="1"/>
  <c r="EG151" i="1"/>
  <c r="EF151" i="1"/>
  <c r="EM150" i="1"/>
  <c r="EL150" i="1"/>
  <c r="EK150" i="1"/>
  <c r="EJ150" i="1"/>
  <c r="EI150" i="1"/>
  <c r="EH150" i="1"/>
  <c r="EG150" i="1"/>
  <c r="EF150" i="1"/>
  <c r="EE150" i="1"/>
  <c r="ED150" i="1"/>
  <c r="EM149" i="1"/>
  <c r="EL149" i="1"/>
  <c r="EK149" i="1"/>
  <c r="EJ149" i="1"/>
  <c r="EI149" i="1"/>
  <c r="EH149" i="1"/>
  <c r="EG149" i="1"/>
  <c r="EF149" i="1"/>
  <c r="EE149" i="1"/>
  <c r="ED149" i="1"/>
  <c r="EM148" i="1"/>
  <c r="EL148" i="1"/>
  <c r="EK148" i="1"/>
  <c r="EJ148" i="1"/>
  <c r="EI148" i="1"/>
  <c r="EH148" i="1"/>
  <c r="EG148" i="1"/>
  <c r="EF148" i="1"/>
  <c r="EE148" i="1"/>
  <c r="ED148" i="1"/>
  <c r="EM147" i="1"/>
  <c r="EL147" i="1"/>
  <c r="EK147" i="1"/>
  <c r="EJ147" i="1"/>
  <c r="EI147" i="1"/>
  <c r="EH147" i="1"/>
  <c r="EG147" i="1"/>
  <c r="EF147" i="1"/>
  <c r="EE147" i="1"/>
  <c r="ED147" i="1"/>
  <c r="EM146" i="1"/>
  <c r="EL146" i="1"/>
  <c r="EK146" i="1"/>
  <c r="EJ146" i="1"/>
  <c r="EI146" i="1"/>
  <c r="EM145" i="1"/>
  <c r="EL145" i="1"/>
  <c r="EK145" i="1"/>
  <c r="EJ145" i="1"/>
  <c r="EI145" i="1"/>
  <c r="EH145" i="1"/>
  <c r="EG145" i="1"/>
  <c r="EF145" i="1"/>
  <c r="EM144" i="1"/>
  <c r="EL144" i="1"/>
  <c r="EK144" i="1"/>
  <c r="EJ144" i="1"/>
  <c r="EI144" i="1"/>
  <c r="EH144" i="1"/>
  <c r="EM143" i="1"/>
  <c r="EL143" i="1"/>
  <c r="EK143" i="1"/>
  <c r="EJ143" i="1"/>
  <c r="EI143" i="1"/>
  <c r="EM142" i="1"/>
  <c r="EL142" i="1"/>
  <c r="EK142" i="1"/>
  <c r="EJ142" i="1"/>
  <c r="EI142" i="1"/>
  <c r="EH142" i="1"/>
  <c r="EG142" i="1"/>
  <c r="EF142" i="1"/>
  <c r="EE142" i="1"/>
  <c r="ED142" i="1"/>
  <c r="EM141" i="1"/>
  <c r="EL141" i="1"/>
  <c r="EK141" i="1"/>
  <c r="EJ141" i="1"/>
  <c r="EI141" i="1"/>
  <c r="EH141" i="1"/>
  <c r="EG141" i="1"/>
  <c r="EF141" i="1"/>
  <c r="EE141" i="1"/>
  <c r="ED141" i="1"/>
  <c r="EM140" i="1"/>
  <c r="EL140" i="1"/>
  <c r="EK140" i="1"/>
  <c r="EJ140" i="1"/>
  <c r="EI140" i="1"/>
  <c r="EH140" i="1"/>
  <c r="EG140" i="1"/>
  <c r="EF140" i="1"/>
  <c r="EE140" i="1"/>
  <c r="ED140" i="1"/>
  <c r="EM139" i="1"/>
  <c r="EL139" i="1"/>
  <c r="EK139" i="1"/>
  <c r="EJ139" i="1"/>
  <c r="EI139" i="1"/>
  <c r="EH139" i="1"/>
  <c r="EG139" i="1"/>
  <c r="EF139" i="1"/>
  <c r="EE139" i="1"/>
  <c r="ED139" i="1"/>
  <c r="EM138" i="1"/>
  <c r="EL138" i="1"/>
  <c r="EK138" i="1"/>
  <c r="EJ138" i="1"/>
  <c r="EI138" i="1"/>
  <c r="EH138" i="1"/>
  <c r="EG138" i="1"/>
  <c r="EF138" i="1"/>
  <c r="EE138" i="1"/>
  <c r="ED138" i="1"/>
  <c r="EM137" i="1"/>
  <c r="EL137" i="1"/>
  <c r="EK137" i="1"/>
  <c r="EJ137" i="1"/>
  <c r="EI137" i="1"/>
  <c r="EH137" i="1"/>
  <c r="EG137" i="1"/>
  <c r="EF137" i="1"/>
  <c r="EE137" i="1"/>
  <c r="ED137" i="1"/>
  <c r="EM136" i="1"/>
  <c r="EL136" i="1"/>
  <c r="EK136" i="1"/>
  <c r="EJ136" i="1"/>
  <c r="EI136" i="1"/>
  <c r="EH136" i="1"/>
  <c r="EG136" i="1"/>
  <c r="EF136" i="1"/>
  <c r="EE136" i="1"/>
  <c r="ED136" i="1"/>
  <c r="EM135" i="1"/>
  <c r="EL135" i="1"/>
  <c r="EK135" i="1"/>
  <c r="EJ135" i="1"/>
  <c r="EI135" i="1"/>
  <c r="EH135" i="1"/>
  <c r="EG135" i="1"/>
  <c r="EF135" i="1"/>
  <c r="EE135" i="1"/>
  <c r="ED135" i="1"/>
  <c r="EM134" i="1"/>
  <c r="EL134" i="1"/>
  <c r="EK134" i="1"/>
  <c r="EJ134" i="1"/>
  <c r="EI134" i="1"/>
  <c r="EH134" i="1"/>
  <c r="EG134" i="1"/>
  <c r="EF134" i="1"/>
  <c r="EE134" i="1"/>
  <c r="ED134" i="1"/>
  <c r="EM133" i="1"/>
  <c r="EL133" i="1"/>
  <c r="EK133" i="1"/>
  <c r="EJ133" i="1"/>
  <c r="EI133" i="1"/>
  <c r="EH133" i="1"/>
  <c r="EG133" i="1"/>
  <c r="EF133" i="1"/>
  <c r="EE133" i="1"/>
  <c r="ED133" i="1"/>
  <c r="EM132" i="1"/>
  <c r="EL132" i="1"/>
  <c r="EK132" i="1"/>
  <c r="EJ132" i="1"/>
  <c r="EI132" i="1"/>
  <c r="EH132" i="1"/>
  <c r="EG132" i="1"/>
  <c r="EF132" i="1"/>
  <c r="EE132" i="1"/>
  <c r="ED132" i="1"/>
  <c r="EM131" i="1"/>
  <c r="EL131" i="1"/>
  <c r="EK131" i="1"/>
  <c r="EJ131" i="1"/>
  <c r="EI131" i="1"/>
  <c r="EH131" i="1"/>
  <c r="EG131" i="1"/>
  <c r="EF131" i="1"/>
  <c r="EE131" i="1"/>
  <c r="ED131" i="1"/>
  <c r="EM130" i="1"/>
  <c r="EL130" i="1"/>
  <c r="EK130" i="1"/>
  <c r="EJ130" i="1"/>
  <c r="EI130" i="1"/>
  <c r="EH130" i="1"/>
  <c r="EG130" i="1"/>
  <c r="EF130" i="1"/>
  <c r="EE130" i="1"/>
  <c r="ED130" i="1"/>
  <c r="EM129" i="1"/>
  <c r="EL129" i="1"/>
  <c r="EK129" i="1"/>
  <c r="EJ129" i="1"/>
  <c r="EI129" i="1"/>
  <c r="EH129" i="1"/>
  <c r="EG129" i="1"/>
  <c r="EF129" i="1"/>
  <c r="EE129" i="1"/>
  <c r="ED129" i="1"/>
  <c r="EM128" i="1"/>
  <c r="EL128" i="1"/>
  <c r="EK128" i="1"/>
  <c r="EJ128" i="1"/>
  <c r="EI128" i="1"/>
  <c r="EH128" i="1"/>
  <c r="EG128" i="1"/>
  <c r="EF128" i="1"/>
  <c r="EE128" i="1"/>
  <c r="ED128" i="1"/>
  <c r="EM127" i="1"/>
  <c r="EL127" i="1"/>
  <c r="EK127" i="1"/>
  <c r="EJ127" i="1"/>
  <c r="EI127" i="1"/>
  <c r="EH127" i="1"/>
  <c r="EG127" i="1"/>
  <c r="EF127" i="1"/>
  <c r="EE127" i="1"/>
  <c r="ED127" i="1"/>
  <c r="EM126" i="1"/>
  <c r="EL126" i="1"/>
  <c r="EK126" i="1"/>
  <c r="EJ126" i="1"/>
  <c r="EI126" i="1"/>
  <c r="EH126" i="1"/>
  <c r="EG126" i="1"/>
  <c r="EF126" i="1"/>
  <c r="EE126" i="1"/>
  <c r="ED126" i="1"/>
  <c r="EM125" i="1"/>
  <c r="EL125" i="1"/>
  <c r="EK125" i="1"/>
  <c r="EJ125" i="1"/>
  <c r="EI125" i="1"/>
  <c r="EH125" i="1"/>
  <c r="EG125" i="1"/>
  <c r="EF125" i="1"/>
  <c r="EE125" i="1"/>
  <c r="ED125" i="1"/>
  <c r="EM124" i="1"/>
  <c r="EL124" i="1"/>
  <c r="EK124" i="1"/>
  <c r="EJ124" i="1"/>
  <c r="EI124" i="1"/>
  <c r="EH124" i="1"/>
  <c r="EG124" i="1"/>
  <c r="EF124" i="1"/>
  <c r="EE124" i="1"/>
  <c r="ED124" i="1"/>
  <c r="EM123" i="1"/>
  <c r="EL123" i="1"/>
  <c r="EK123" i="1"/>
  <c r="EJ123" i="1"/>
  <c r="EI123" i="1"/>
  <c r="EH123" i="1"/>
  <c r="EG123" i="1"/>
  <c r="EF123" i="1"/>
  <c r="EE123" i="1"/>
  <c r="ED123" i="1"/>
  <c r="EM122" i="1"/>
  <c r="EL122" i="1"/>
  <c r="EK122" i="1"/>
  <c r="EJ122" i="1"/>
  <c r="EI122" i="1"/>
  <c r="EH122" i="1"/>
  <c r="EG122" i="1"/>
  <c r="EF122" i="1"/>
  <c r="EE122" i="1"/>
  <c r="ED122" i="1"/>
  <c r="EM121" i="1"/>
  <c r="EL121" i="1"/>
  <c r="EK121" i="1"/>
  <c r="EJ121" i="1"/>
  <c r="EI121" i="1"/>
  <c r="EH121" i="1"/>
  <c r="EG121" i="1"/>
  <c r="EF121" i="1"/>
  <c r="EE121" i="1"/>
  <c r="ED121" i="1"/>
  <c r="EM120" i="1"/>
  <c r="EL120" i="1"/>
  <c r="EK120" i="1"/>
  <c r="EJ120" i="1"/>
  <c r="EI120" i="1"/>
  <c r="EH120" i="1"/>
  <c r="EG120" i="1"/>
  <c r="EF120" i="1"/>
  <c r="EE120" i="1"/>
  <c r="ED120" i="1"/>
  <c r="EM119" i="1"/>
  <c r="EL119" i="1"/>
  <c r="EK119" i="1"/>
  <c r="EJ119" i="1"/>
  <c r="EI119" i="1"/>
  <c r="EH119" i="1"/>
  <c r="EG119" i="1"/>
  <c r="EF119" i="1"/>
  <c r="EE119" i="1"/>
  <c r="ED119" i="1"/>
  <c r="EM118" i="1"/>
  <c r="EL118" i="1"/>
  <c r="EK118" i="1"/>
  <c r="EJ118" i="1"/>
  <c r="EI118" i="1"/>
  <c r="EH118" i="1"/>
  <c r="EG118" i="1"/>
  <c r="EF118" i="1"/>
  <c r="EE118" i="1"/>
  <c r="ED118" i="1"/>
  <c r="EM117" i="1"/>
  <c r="EL117" i="1"/>
  <c r="EK117" i="1"/>
  <c r="EJ117" i="1"/>
  <c r="EI117" i="1"/>
  <c r="EH117" i="1"/>
  <c r="EG117" i="1"/>
  <c r="EF117" i="1"/>
  <c r="EE117" i="1"/>
  <c r="ED117" i="1"/>
  <c r="EM116" i="1"/>
  <c r="EL116" i="1"/>
  <c r="EK116" i="1"/>
  <c r="EJ116" i="1"/>
  <c r="EI116" i="1"/>
  <c r="EH116" i="1"/>
  <c r="EG116" i="1"/>
  <c r="EF116" i="1"/>
  <c r="EE116" i="1"/>
  <c r="ED116" i="1"/>
  <c r="EM115" i="1"/>
  <c r="EL115" i="1"/>
  <c r="EK115" i="1"/>
  <c r="EJ115" i="1"/>
  <c r="EI115" i="1"/>
  <c r="EH115" i="1"/>
  <c r="EG115" i="1"/>
  <c r="EF115" i="1"/>
  <c r="EE115" i="1"/>
  <c r="ED115" i="1"/>
  <c r="EM114" i="1"/>
  <c r="EL114" i="1"/>
  <c r="EK114" i="1"/>
  <c r="EJ114" i="1"/>
  <c r="EI114" i="1"/>
  <c r="EH114" i="1"/>
  <c r="EG114" i="1"/>
  <c r="EF114" i="1"/>
  <c r="EE114" i="1"/>
  <c r="ED114" i="1"/>
  <c r="EM113" i="1"/>
  <c r="EL113" i="1"/>
  <c r="EK113" i="1"/>
  <c r="EJ113" i="1"/>
  <c r="EI113" i="1"/>
  <c r="EH113" i="1"/>
  <c r="EG113" i="1"/>
  <c r="EF113" i="1"/>
  <c r="EE113" i="1"/>
  <c r="ED113" i="1"/>
  <c r="EM112" i="1"/>
  <c r="EL112" i="1"/>
  <c r="EK112" i="1"/>
  <c r="EJ112" i="1"/>
  <c r="EI112" i="1"/>
  <c r="EH112" i="1"/>
  <c r="EG112" i="1"/>
  <c r="EF112" i="1"/>
  <c r="EE112" i="1"/>
  <c r="ED112" i="1"/>
  <c r="EM111" i="1"/>
  <c r="EL111" i="1"/>
  <c r="EK111" i="1"/>
  <c r="EJ111" i="1"/>
  <c r="EI111" i="1"/>
  <c r="EH111" i="1"/>
  <c r="EG111" i="1"/>
  <c r="EF111" i="1"/>
  <c r="EE111" i="1"/>
  <c r="ED111" i="1"/>
  <c r="EM110" i="1"/>
  <c r="EL110" i="1"/>
  <c r="EK110" i="1"/>
  <c r="EJ110" i="1"/>
  <c r="EI110" i="1"/>
  <c r="EH110" i="1"/>
  <c r="EG110" i="1"/>
  <c r="EF110" i="1"/>
  <c r="EE110" i="1"/>
  <c r="ED110" i="1"/>
  <c r="EM109" i="1"/>
  <c r="EL109" i="1"/>
  <c r="EK109" i="1"/>
  <c r="EJ109" i="1"/>
  <c r="EI109" i="1"/>
  <c r="EH109" i="1"/>
  <c r="EG109" i="1"/>
  <c r="EF109" i="1"/>
  <c r="EE109" i="1"/>
  <c r="ED109" i="1"/>
  <c r="EM108" i="1"/>
  <c r="EL108" i="1"/>
  <c r="EK108" i="1"/>
  <c r="EJ108" i="1"/>
  <c r="EI108" i="1"/>
  <c r="EH108" i="1"/>
  <c r="EG108" i="1"/>
  <c r="EF108" i="1"/>
  <c r="EE108" i="1"/>
  <c r="ED108" i="1"/>
  <c r="EM107" i="1"/>
  <c r="EL107" i="1"/>
  <c r="EK107" i="1"/>
  <c r="EJ107" i="1"/>
  <c r="EI107" i="1"/>
  <c r="EH107" i="1"/>
  <c r="EG107" i="1"/>
  <c r="EF107" i="1"/>
  <c r="EE107" i="1"/>
  <c r="ED107" i="1"/>
  <c r="EM106" i="1"/>
  <c r="EL106" i="1"/>
  <c r="EK106" i="1"/>
  <c r="EJ106" i="1"/>
  <c r="EI106" i="1"/>
  <c r="EH106" i="1"/>
  <c r="EG106" i="1"/>
  <c r="EF106" i="1"/>
  <c r="EE106" i="1"/>
  <c r="ED106" i="1"/>
  <c r="EM105" i="1"/>
  <c r="EL105" i="1"/>
  <c r="EK105" i="1"/>
  <c r="EJ105" i="1"/>
  <c r="EI105" i="1"/>
  <c r="EH105" i="1"/>
  <c r="EG105" i="1"/>
  <c r="EF105" i="1"/>
  <c r="EE105" i="1"/>
  <c r="ED105" i="1"/>
  <c r="EM104" i="1"/>
  <c r="EL104" i="1"/>
  <c r="EK104" i="1"/>
  <c r="EJ104" i="1"/>
  <c r="EI104" i="1"/>
  <c r="EH104" i="1"/>
  <c r="EG104" i="1"/>
  <c r="EF104" i="1"/>
  <c r="EE104" i="1"/>
  <c r="ED104" i="1"/>
  <c r="EM103" i="1"/>
  <c r="EL103" i="1"/>
  <c r="EK103" i="1"/>
  <c r="EJ103" i="1"/>
  <c r="EI103" i="1"/>
  <c r="EH103" i="1"/>
  <c r="EG103" i="1"/>
  <c r="EF103" i="1"/>
  <c r="EE103" i="1"/>
  <c r="ED103" i="1"/>
  <c r="EM102" i="1"/>
  <c r="EL102" i="1"/>
  <c r="EK102" i="1"/>
  <c r="EJ102" i="1"/>
  <c r="EI102" i="1"/>
  <c r="EH102" i="1"/>
  <c r="EG102" i="1"/>
  <c r="EF102" i="1"/>
  <c r="EE102" i="1"/>
  <c r="ED102" i="1"/>
  <c r="EM101" i="1"/>
  <c r="EL101" i="1"/>
  <c r="EK101" i="1"/>
  <c r="EJ101" i="1"/>
  <c r="EI101" i="1"/>
  <c r="EH101" i="1"/>
  <c r="EG101" i="1"/>
  <c r="EF101" i="1"/>
  <c r="EE101" i="1"/>
  <c r="ED101" i="1"/>
  <c r="EM100" i="1"/>
  <c r="EL100" i="1"/>
  <c r="EK100" i="1"/>
  <c r="EJ100" i="1"/>
  <c r="EI100" i="1"/>
  <c r="EH100" i="1"/>
  <c r="EG100" i="1"/>
  <c r="EF100" i="1"/>
  <c r="EE100" i="1"/>
  <c r="ED100" i="1"/>
  <c r="EM99" i="1"/>
  <c r="EL99" i="1"/>
  <c r="EK99" i="1"/>
  <c r="EJ99" i="1"/>
  <c r="EI99" i="1"/>
  <c r="EH99" i="1"/>
  <c r="EG99" i="1"/>
  <c r="EF99" i="1"/>
  <c r="EE99" i="1"/>
  <c r="ED99" i="1"/>
  <c r="EM98" i="1"/>
  <c r="EL98" i="1"/>
  <c r="EK98" i="1"/>
  <c r="EJ98" i="1"/>
  <c r="EI98" i="1"/>
  <c r="EH98" i="1"/>
  <c r="EG98" i="1"/>
  <c r="EF98" i="1"/>
  <c r="EE98" i="1"/>
  <c r="ED98" i="1"/>
  <c r="EM97" i="1"/>
  <c r="EL97" i="1"/>
  <c r="EK97" i="1"/>
  <c r="EJ97" i="1"/>
  <c r="EI97" i="1"/>
  <c r="EH97" i="1"/>
  <c r="EG97" i="1"/>
  <c r="EF97" i="1"/>
  <c r="EE97" i="1"/>
  <c r="ED97" i="1"/>
  <c r="EM96" i="1"/>
  <c r="EL96" i="1"/>
  <c r="EK96" i="1"/>
  <c r="EJ96" i="1"/>
  <c r="EI96" i="1"/>
  <c r="EH96" i="1"/>
  <c r="EG96" i="1"/>
  <c r="EF96" i="1"/>
  <c r="EE96" i="1"/>
  <c r="ED96" i="1"/>
  <c r="EM95" i="1"/>
  <c r="EL95" i="1"/>
  <c r="EK95" i="1"/>
  <c r="EJ95" i="1"/>
  <c r="EI95" i="1"/>
  <c r="EH95" i="1"/>
  <c r="EG95" i="1"/>
  <c r="EF95" i="1"/>
  <c r="EE95" i="1"/>
  <c r="ED95" i="1"/>
  <c r="EM94" i="1"/>
  <c r="EL94" i="1"/>
  <c r="EK94" i="1"/>
  <c r="EJ94" i="1"/>
  <c r="EI94" i="1"/>
  <c r="EH94" i="1"/>
  <c r="EG94" i="1"/>
  <c r="EF94" i="1"/>
  <c r="EE94" i="1"/>
  <c r="ED94" i="1"/>
  <c r="EM93" i="1"/>
  <c r="EL93" i="1"/>
  <c r="EK93" i="1"/>
  <c r="EJ93" i="1"/>
  <c r="EI93" i="1"/>
  <c r="EH93" i="1"/>
  <c r="EG93" i="1"/>
  <c r="EF93" i="1"/>
  <c r="EE93" i="1"/>
  <c r="ED93" i="1"/>
  <c r="EM92" i="1"/>
  <c r="EL92" i="1"/>
  <c r="EK92" i="1"/>
  <c r="EJ92" i="1"/>
  <c r="EI92" i="1"/>
  <c r="EH92" i="1"/>
  <c r="EG92" i="1"/>
  <c r="EF92" i="1"/>
  <c r="EE92" i="1"/>
  <c r="ED92" i="1"/>
  <c r="EM91" i="1"/>
  <c r="EL91" i="1"/>
  <c r="EK91" i="1"/>
  <c r="EJ91" i="1"/>
  <c r="EI91" i="1"/>
  <c r="EH91" i="1"/>
  <c r="EG91" i="1"/>
  <c r="EF91" i="1"/>
  <c r="EE91" i="1"/>
  <c r="ED91" i="1"/>
  <c r="EM90" i="1"/>
  <c r="EL90" i="1"/>
  <c r="EK90" i="1"/>
  <c r="EJ90" i="1"/>
  <c r="EI90" i="1"/>
  <c r="EH90" i="1"/>
  <c r="EG90" i="1"/>
  <c r="EF90" i="1"/>
  <c r="EE90" i="1"/>
  <c r="ED90" i="1"/>
  <c r="EM89" i="1"/>
  <c r="EL89" i="1"/>
  <c r="EK89" i="1"/>
  <c r="EJ89" i="1"/>
  <c r="EI89" i="1"/>
  <c r="EH89" i="1"/>
  <c r="EG89" i="1"/>
  <c r="EF89" i="1"/>
  <c r="EE89" i="1"/>
  <c r="ED89" i="1"/>
  <c r="EM88" i="1"/>
  <c r="EL88" i="1"/>
  <c r="EK88" i="1"/>
  <c r="EJ88" i="1"/>
  <c r="EI88" i="1"/>
  <c r="EH88" i="1"/>
  <c r="EG88" i="1"/>
  <c r="EF88" i="1"/>
  <c r="EE88" i="1"/>
  <c r="ED88" i="1"/>
  <c r="EM87" i="1"/>
  <c r="EL87" i="1"/>
  <c r="EK87" i="1"/>
  <c r="EJ87" i="1"/>
  <c r="EI87" i="1"/>
  <c r="EH87" i="1"/>
  <c r="EG87" i="1"/>
  <c r="EF87" i="1"/>
  <c r="EE87" i="1"/>
  <c r="ED87" i="1"/>
  <c r="EM86" i="1"/>
  <c r="EL86" i="1"/>
  <c r="EK86" i="1"/>
  <c r="EJ86" i="1"/>
  <c r="EI86" i="1"/>
  <c r="EH86" i="1"/>
  <c r="EG86" i="1"/>
  <c r="EF86" i="1"/>
  <c r="EE86" i="1"/>
  <c r="ED86" i="1"/>
  <c r="EM85" i="1"/>
  <c r="EL85" i="1"/>
  <c r="EK85" i="1"/>
  <c r="EJ85" i="1"/>
  <c r="EI85" i="1"/>
  <c r="EH85" i="1"/>
  <c r="EG85" i="1"/>
  <c r="EF85" i="1"/>
  <c r="EE85" i="1"/>
  <c r="ED85" i="1"/>
  <c r="EM84" i="1"/>
  <c r="EL84" i="1"/>
  <c r="EK84" i="1"/>
  <c r="EJ84" i="1"/>
  <c r="EI84" i="1"/>
  <c r="EH84" i="1"/>
  <c r="EG84" i="1"/>
  <c r="EF84" i="1"/>
  <c r="EE84" i="1"/>
  <c r="ED84" i="1"/>
  <c r="EM83" i="1"/>
  <c r="EL83" i="1"/>
  <c r="EK83" i="1"/>
  <c r="EJ83" i="1"/>
  <c r="EI83" i="1"/>
  <c r="EH83" i="1"/>
  <c r="EG83" i="1"/>
  <c r="EF83" i="1"/>
  <c r="EE83" i="1"/>
  <c r="ED83" i="1"/>
  <c r="EM82" i="1"/>
  <c r="EL82" i="1"/>
  <c r="EK82" i="1"/>
  <c r="EJ82" i="1"/>
  <c r="EI82" i="1"/>
  <c r="EH82" i="1"/>
  <c r="EG82" i="1"/>
  <c r="EF82" i="1"/>
  <c r="EE82" i="1"/>
  <c r="ED82" i="1"/>
  <c r="EM81" i="1"/>
  <c r="EL81" i="1"/>
  <c r="EK81" i="1"/>
  <c r="EJ81" i="1"/>
  <c r="EI81" i="1"/>
  <c r="EH81" i="1"/>
  <c r="EG81" i="1"/>
  <c r="EF81" i="1"/>
  <c r="EE81" i="1"/>
  <c r="ED81" i="1"/>
  <c r="EM80" i="1"/>
  <c r="EL80" i="1"/>
  <c r="EK80" i="1"/>
  <c r="EJ80" i="1"/>
  <c r="EI80" i="1"/>
  <c r="EH80" i="1"/>
  <c r="EG80" i="1"/>
  <c r="EF80" i="1"/>
  <c r="EE80" i="1"/>
  <c r="ED80" i="1"/>
  <c r="EM79" i="1"/>
  <c r="EL79" i="1"/>
  <c r="EK79" i="1"/>
  <c r="EJ79" i="1"/>
  <c r="EI79" i="1"/>
  <c r="EH79" i="1"/>
  <c r="EG79" i="1"/>
  <c r="EF79" i="1"/>
  <c r="EE79" i="1"/>
  <c r="ED79" i="1"/>
  <c r="EM78" i="1"/>
  <c r="EL78" i="1"/>
  <c r="EK78" i="1"/>
  <c r="EJ78" i="1"/>
  <c r="EI78" i="1"/>
  <c r="EH78" i="1"/>
  <c r="EG78" i="1"/>
  <c r="EF78" i="1"/>
  <c r="EE78" i="1"/>
  <c r="ED78" i="1"/>
  <c r="EM77" i="1"/>
  <c r="EL77" i="1"/>
  <c r="EK77" i="1"/>
  <c r="EJ77" i="1"/>
  <c r="EI77" i="1"/>
  <c r="EH77" i="1"/>
  <c r="EG77" i="1"/>
  <c r="EF77" i="1"/>
  <c r="EE77" i="1"/>
  <c r="ED77" i="1"/>
  <c r="EM76" i="1"/>
  <c r="EL76" i="1"/>
  <c r="EK76" i="1"/>
  <c r="EJ76" i="1"/>
  <c r="EI76" i="1"/>
  <c r="EH76" i="1"/>
  <c r="EG76" i="1"/>
  <c r="EF76" i="1"/>
  <c r="EE76" i="1"/>
  <c r="ED76" i="1"/>
  <c r="EM75" i="1"/>
  <c r="EL75" i="1"/>
  <c r="EK75" i="1"/>
  <c r="EJ75" i="1"/>
  <c r="EI75" i="1"/>
  <c r="EH75" i="1"/>
  <c r="EG75" i="1"/>
  <c r="EF75" i="1"/>
  <c r="EE75" i="1"/>
  <c r="ED75" i="1"/>
  <c r="EM74" i="1"/>
  <c r="EL74" i="1"/>
  <c r="EK74" i="1"/>
  <c r="EJ74" i="1"/>
  <c r="EI74" i="1"/>
  <c r="EH74" i="1"/>
  <c r="EG74" i="1"/>
  <c r="EF74" i="1"/>
  <c r="EE74" i="1"/>
  <c r="ED74" i="1"/>
  <c r="EM73" i="1"/>
  <c r="EL73" i="1"/>
  <c r="EK73" i="1"/>
  <c r="EJ73" i="1"/>
  <c r="EI73" i="1"/>
  <c r="EH73" i="1"/>
  <c r="EG73" i="1"/>
  <c r="EF73" i="1"/>
  <c r="EE73" i="1"/>
  <c r="ED73" i="1"/>
  <c r="EM72" i="1"/>
  <c r="EL72" i="1"/>
  <c r="EK72" i="1"/>
  <c r="EJ72" i="1"/>
  <c r="EI72" i="1"/>
  <c r="EH72" i="1"/>
  <c r="EG72" i="1"/>
  <c r="EF72" i="1"/>
  <c r="EE72" i="1"/>
  <c r="ED72" i="1"/>
  <c r="EM71" i="1"/>
  <c r="EL71" i="1"/>
  <c r="EK71" i="1"/>
  <c r="EJ71" i="1"/>
  <c r="EI71" i="1"/>
  <c r="EH71" i="1"/>
  <c r="EG71" i="1"/>
  <c r="EF71" i="1"/>
  <c r="EE71" i="1"/>
  <c r="ED71" i="1"/>
  <c r="EM70" i="1"/>
  <c r="EL70" i="1"/>
  <c r="EK70" i="1"/>
  <c r="EJ70" i="1"/>
  <c r="EI70" i="1"/>
  <c r="EH70" i="1"/>
  <c r="EG70" i="1"/>
  <c r="EF70" i="1"/>
  <c r="EE70" i="1"/>
  <c r="ED70" i="1"/>
  <c r="EM69" i="1"/>
  <c r="EL69" i="1"/>
  <c r="EK69" i="1"/>
  <c r="EJ69" i="1"/>
  <c r="EI69" i="1"/>
  <c r="EH69" i="1"/>
  <c r="EG69" i="1"/>
  <c r="EF69" i="1"/>
  <c r="EE69" i="1"/>
  <c r="ED69" i="1"/>
  <c r="EM68" i="1"/>
  <c r="EL68" i="1"/>
  <c r="EK68" i="1"/>
  <c r="EJ68" i="1"/>
  <c r="EI68" i="1"/>
  <c r="EH68" i="1"/>
  <c r="EG68" i="1"/>
  <c r="EF68" i="1"/>
  <c r="EE68" i="1"/>
  <c r="ED68" i="1"/>
  <c r="EM67" i="1"/>
  <c r="EL67" i="1"/>
  <c r="EK67" i="1"/>
  <c r="EJ67" i="1"/>
  <c r="EI67" i="1"/>
  <c r="EH67" i="1"/>
  <c r="EG67" i="1"/>
  <c r="EF67" i="1"/>
  <c r="EE67" i="1"/>
  <c r="ED67" i="1"/>
  <c r="EM66" i="1"/>
  <c r="EL66" i="1"/>
  <c r="EK66" i="1"/>
  <c r="EJ66" i="1"/>
  <c r="EI66" i="1"/>
  <c r="EH66" i="1"/>
  <c r="EG66" i="1"/>
  <c r="EF66" i="1"/>
  <c r="EE66" i="1"/>
  <c r="ED66" i="1"/>
  <c r="EM65" i="1"/>
  <c r="EL65" i="1"/>
  <c r="EK65" i="1"/>
  <c r="EJ65" i="1"/>
  <c r="EI65" i="1"/>
  <c r="EH65" i="1"/>
  <c r="EG65" i="1"/>
  <c r="EF65" i="1"/>
  <c r="EE65" i="1"/>
  <c r="ED65" i="1"/>
  <c r="EM64" i="1"/>
  <c r="EL64" i="1"/>
  <c r="EK64" i="1"/>
  <c r="EJ64" i="1"/>
  <c r="EI64" i="1"/>
  <c r="EH64" i="1"/>
  <c r="EG64" i="1"/>
  <c r="EF64" i="1"/>
  <c r="EE64" i="1"/>
  <c r="ED64" i="1"/>
  <c r="EM63" i="1"/>
  <c r="EL63" i="1"/>
  <c r="EK63" i="1"/>
  <c r="EJ63" i="1"/>
  <c r="EI63" i="1"/>
  <c r="EH63" i="1"/>
  <c r="EG63" i="1"/>
  <c r="EF63" i="1"/>
  <c r="EE63" i="1"/>
  <c r="ED63" i="1"/>
  <c r="EM62" i="1"/>
  <c r="EL62" i="1"/>
  <c r="EK62" i="1"/>
  <c r="EJ62" i="1"/>
  <c r="EI62" i="1"/>
  <c r="EH62" i="1"/>
  <c r="EG62" i="1"/>
  <c r="EF62" i="1"/>
  <c r="EE62" i="1"/>
  <c r="ED62" i="1"/>
  <c r="EM61" i="1"/>
  <c r="EL61" i="1"/>
  <c r="EK61" i="1"/>
  <c r="EJ61" i="1"/>
  <c r="EI61" i="1"/>
  <c r="EH61" i="1"/>
  <c r="EG61" i="1"/>
  <c r="EF61" i="1"/>
  <c r="EE61" i="1"/>
  <c r="ED61" i="1"/>
  <c r="EM60" i="1"/>
  <c r="EL60" i="1"/>
  <c r="EK60" i="1"/>
  <c r="EJ60" i="1"/>
  <c r="EI60" i="1"/>
  <c r="EH60" i="1"/>
  <c r="EG60" i="1"/>
  <c r="EF60" i="1"/>
  <c r="EE60" i="1"/>
  <c r="ED60" i="1"/>
  <c r="EM59" i="1"/>
  <c r="EL59" i="1"/>
  <c r="EK59" i="1"/>
  <c r="EJ59" i="1"/>
  <c r="EI59" i="1"/>
  <c r="EH59" i="1"/>
  <c r="EG59" i="1"/>
  <c r="EF59" i="1"/>
  <c r="EE59" i="1"/>
  <c r="ED59" i="1"/>
  <c r="EM58" i="1"/>
  <c r="EL58" i="1"/>
  <c r="EK58" i="1"/>
  <c r="EJ58" i="1"/>
  <c r="EI58" i="1"/>
  <c r="EH58" i="1"/>
  <c r="EG58" i="1"/>
  <c r="EF58" i="1"/>
  <c r="EE58" i="1"/>
  <c r="ED58" i="1"/>
  <c r="EM57" i="1"/>
  <c r="EL57" i="1"/>
  <c r="EK57" i="1"/>
  <c r="EJ57" i="1"/>
  <c r="EI57" i="1"/>
  <c r="EH57" i="1"/>
  <c r="EG57" i="1"/>
  <c r="EF57" i="1"/>
  <c r="EE57" i="1"/>
  <c r="ED57" i="1"/>
  <c r="EM56" i="1"/>
  <c r="EL56" i="1"/>
  <c r="EK56" i="1"/>
  <c r="EJ56" i="1"/>
  <c r="EI56" i="1"/>
  <c r="EH56" i="1"/>
  <c r="EG56" i="1"/>
  <c r="EF56" i="1"/>
  <c r="EE56" i="1"/>
  <c r="ED56" i="1"/>
  <c r="EM55" i="1"/>
  <c r="EL55" i="1"/>
  <c r="EK55" i="1"/>
  <c r="EJ55" i="1"/>
  <c r="EI55" i="1"/>
  <c r="EH55" i="1"/>
  <c r="EG55" i="1"/>
  <c r="EF55" i="1"/>
  <c r="EE55" i="1"/>
  <c r="ED55" i="1"/>
  <c r="EM54" i="1"/>
  <c r="EL54" i="1"/>
  <c r="EK54" i="1"/>
  <c r="EJ54" i="1"/>
  <c r="EI54" i="1"/>
  <c r="EH54" i="1"/>
  <c r="EG54" i="1"/>
  <c r="EF54" i="1"/>
  <c r="EE54" i="1"/>
  <c r="ED54" i="1"/>
  <c r="EM53" i="1"/>
  <c r="EL53" i="1"/>
  <c r="EK53" i="1"/>
  <c r="EJ53" i="1"/>
  <c r="EI53" i="1"/>
  <c r="EH53" i="1"/>
  <c r="EG53" i="1"/>
  <c r="EF53" i="1"/>
  <c r="EE53" i="1"/>
  <c r="ED53" i="1"/>
  <c r="EM52" i="1"/>
  <c r="EL52" i="1"/>
  <c r="EK52" i="1"/>
  <c r="EJ52" i="1"/>
  <c r="EI52" i="1"/>
  <c r="EH52" i="1"/>
  <c r="EG52" i="1"/>
  <c r="EF52" i="1"/>
  <c r="EE52" i="1"/>
  <c r="ED52" i="1"/>
  <c r="EM51" i="1"/>
  <c r="EL51" i="1"/>
  <c r="EK51" i="1"/>
  <c r="EJ51" i="1"/>
  <c r="EI51" i="1"/>
  <c r="EH51" i="1"/>
  <c r="EG51" i="1"/>
  <c r="EF51" i="1"/>
  <c r="EE51" i="1"/>
  <c r="ED51" i="1"/>
  <c r="EM50" i="1"/>
  <c r="EL50" i="1"/>
  <c r="EK50" i="1"/>
  <c r="EJ50" i="1"/>
  <c r="EI50" i="1"/>
  <c r="EH50" i="1"/>
  <c r="EG50" i="1"/>
  <c r="EF50" i="1"/>
  <c r="EE50" i="1"/>
  <c r="ED50" i="1"/>
  <c r="EM49" i="1"/>
  <c r="EL49" i="1"/>
  <c r="EK49" i="1"/>
  <c r="EJ49" i="1"/>
  <c r="EI49" i="1"/>
  <c r="EH49" i="1"/>
  <c r="EG49" i="1"/>
  <c r="EF49" i="1"/>
  <c r="EE49" i="1"/>
  <c r="ED49" i="1"/>
  <c r="EM48" i="1"/>
  <c r="EL48" i="1"/>
  <c r="EK48" i="1"/>
  <c r="EJ48" i="1"/>
  <c r="EI48" i="1"/>
  <c r="EH48" i="1"/>
  <c r="EG48" i="1"/>
  <c r="EF48" i="1"/>
  <c r="EE48" i="1"/>
  <c r="ED48" i="1"/>
  <c r="EM47" i="1"/>
  <c r="EL47" i="1"/>
  <c r="EK47" i="1"/>
  <c r="EJ47" i="1"/>
  <c r="EI47" i="1"/>
  <c r="EH47" i="1"/>
  <c r="EG47" i="1"/>
  <c r="EF47" i="1"/>
  <c r="EE47" i="1"/>
  <c r="ED47" i="1"/>
  <c r="EM46" i="1"/>
  <c r="EL46" i="1"/>
  <c r="EK46" i="1"/>
  <c r="EJ46" i="1"/>
  <c r="EI46" i="1"/>
  <c r="EH46" i="1"/>
  <c r="EG46" i="1"/>
  <c r="EF46" i="1"/>
  <c r="EE46" i="1"/>
  <c r="ED46" i="1"/>
  <c r="EM45" i="1"/>
  <c r="EL45" i="1"/>
  <c r="EK45" i="1"/>
  <c r="EJ45" i="1"/>
  <c r="EI45" i="1"/>
  <c r="EH45" i="1"/>
  <c r="EG45" i="1"/>
  <c r="EF45" i="1"/>
  <c r="EE45" i="1"/>
  <c r="ED45" i="1"/>
  <c r="EM44" i="1"/>
  <c r="EL44" i="1"/>
  <c r="EK44" i="1"/>
  <c r="EJ44" i="1"/>
  <c r="EI44" i="1"/>
  <c r="EH44" i="1"/>
  <c r="EG44" i="1"/>
  <c r="EF44" i="1"/>
  <c r="EE44" i="1"/>
  <c r="ED44" i="1"/>
  <c r="EM43" i="1"/>
  <c r="EL43" i="1"/>
  <c r="EK43" i="1"/>
  <c r="EJ43" i="1"/>
  <c r="EI43" i="1"/>
  <c r="EH43" i="1"/>
  <c r="EG43" i="1"/>
  <c r="EF43" i="1"/>
  <c r="EE43" i="1"/>
  <c r="ED43" i="1"/>
  <c r="EM42" i="1"/>
  <c r="EL42" i="1"/>
  <c r="EK42" i="1"/>
  <c r="EJ42" i="1"/>
  <c r="EI42" i="1"/>
  <c r="EH42" i="1"/>
  <c r="EG42" i="1"/>
  <c r="EF42" i="1"/>
  <c r="EE42" i="1"/>
  <c r="ED42" i="1"/>
  <c r="EM41" i="1"/>
  <c r="EL41" i="1"/>
  <c r="EK41" i="1"/>
  <c r="EJ41" i="1"/>
  <c r="EI41" i="1"/>
  <c r="EH41" i="1"/>
  <c r="EG41" i="1"/>
  <c r="EF41" i="1"/>
  <c r="EE41" i="1"/>
  <c r="ED41" i="1"/>
  <c r="EM40" i="1"/>
  <c r="EL40" i="1"/>
  <c r="EK40" i="1"/>
  <c r="EJ40" i="1"/>
  <c r="EI40" i="1"/>
  <c r="EH40" i="1"/>
  <c r="EG40" i="1"/>
  <c r="EF40" i="1"/>
  <c r="EE40" i="1"/>
  <c r="ED40" i="1"/>
  <c r="EM39" i="1"/>
  <c r="EL39" i="1"/>
  <c r="EK39" i="1"/>
  <c r="EJ39" i="1"/>
  <c r="EI39" i="1"/>
  <c r="EH39" i="1"/>
  <c r="EG39" i="1"/>
  <c r="EF39" i="1"/>
  <c r="EE39" i="1"/>
  <c r="ED39" i="1"/>
  <c r="EM38" i="1"/>
  <c r="EL38" i="1"/>
  <c r="EK38" i="1"/>
  <c r="EJ38" i="1"/>
  <c r="EI38" i="1"/>
  <c r="EH38" i="1"/>
  <c r="EG38" i="1"/>
  <c r="EF38" i="1"/>
  <c r="EE38" i="1"/>
  <c r="ED38" i="1"/>
  <c r="EM37" i="1"/>
  <c r="EL37" i="1"/>
  <c r="EK37" i="1"/>
  <c r="EJ37" i="1"/>
  <c r="EI37" i="1"/>
  <c r="EH37" i="1"/>
  <c r="EG37" i="1"/>
  <c r="EF37" i="1"/>
  <c r="EE37" i="1"/>
  <c r="ED37" i="1"/>
  <c r="EM36" i="1"/>
  <c r="EL36" i="1"/>
  <c r="EK36" i="1"/>
  <c r="EJ36" i="1"/>
  <c r="EI36" i="1"/>
  <c r="EH36" i="1"/>
  <c r="EG36" i="1"/>
  <c r="EF36" i="1"/>
  <c r="EE36" i="1"/>
  <c r="ED36" i="1"/>
  <c r="EM35" i="1"/>
  <c r="EL35" i="1"/>
  <c r="EK35" i="1"/>
  <c r="EJ35" i="1"/>
  <c r="EI35" i="1"/>
  <c r="EH35" i="1"/>
  <c r="EG35" i="1"/>
  <c r="EF35" i="1"/>
  <c r="EE35" i="1"/>
  <c r="ED35" i="1"/>
  <c r="EM34" i="1"/>
  <c r="EL34" i="1"/>
  <c r="EK34" i="1"/>
  <c r="EJ34" i="1"/>
  <c r="EI34" i="1"/>
  <c r="EH34" i="1"/>
  <c r="EG34" i="1"/>
  <c r="EF34" i="1"/>
  <c r="EE34" i="1"/>
  <c r="ED34" i="1"/>
  <c r="EM33" i="1"/>
  <c r="EL33" i="1"/>
  <c r="EK33" i="1"/>
  <c r="EJ33" i="1"/>
  <c r="EI33" i="1"/>
  <c r="EH33" i="1"/>
  <c r="EG33" i="1"/>
  <c r="EF33" i="1"/>
  <c r="EE33" i="1"/>
  <c r="ED33" i="1"/>
  <c r="EM32" i="1"/>
  <c r="EL32" i="1"/>
  <c r="EK32" i="1"/>
  <c r="EJ32" i="1"/>
  <c r="EI32" i="1"/>
  <c r="EH32" i="1"/>
  <c r="EG32" i="1"/>
  <c r="EF32" i="1"/>
  <c r="EE32" i="1"/>
  <c r="ED32" i="1"/>
  <c r="EM31" i="1"/>
  <c r="EL31" i="1"/>
  <c r="EK31" i="1"/>
  <c r="EJ31" i="1"/>
  <c r="EI31" i="1"/>
  <c r="EH31" i="1"/>
  <c r="EG31" i="1"/>
  <c r="EF31" i="1"/>
  <c r="EE31" i="1"/>
  <c r="ED31" i="1"/>
  <c r="EM30" i="1"/>
  <c r="EL30" i="1"/>
  <c r="EK30" i="1"/>
  <c r="EJ30" i="1"/>
  <c r="EI30" i="1"/>
  <c r="EH30" i="1"/>
  <c r="EG30" i="1"/>
  <c r="EF30" i="1"/>
  <c r="EE30" i="1"/>
  <c r="ED30" i="1"/>
  <c r="EM29" i="1"/>
  <c r="EL29" i="1"/>
  <c r="EK29" i="1"/>
  <c r="EJ29" i="1"/>
  <c r="EI29" i="1"/>
  <c r="EH29" i="1"/>
  <c r="EG29" i="1"/>
  <c r="EF29" i="1"/>
  <c r="EE29" i="1"/>
  <c r="ED29" i="1"/>
  <c r="EM28" i="1"/>
  <c r="EL28" i="1"/>
  <c r="EK28" i="1"/>
  <c r="EJ28" i="1"/>
  <c r="EI28" i="1"/>
  <c r="EH28" i="1"/>
  <c r="EG28" i="1"/>
  <c r="EF28" i="1"/>
  <c r="EE28" i="1"/>
  <c r="ED28" i="1"/>
  <c r="EM27" i="1"/>
  <c r="EL27" i="1"/>
  <c r="EK27" i="1"/>
  <c r="EJ27" i="1"/>
  <c r="EI27" i="1"/>
  <c r="EH27" i="1"/>
  <c r="EG27" i="1"/>
  <c r="EF27" i="1"/>
  <c r="EE27" i="1"/>
  <c r="ED27" i="1"/>
  <c r="EM26" i="1"/>
  <c r="EL26" i="1"/>
  <c r="EK26" i="1"/>
  <c r="EJ26" i="1"/>
  <c r="EI26" i="1"/>
  <c r="EH26" i="1"/>
  <c r="EG26" i="1"/>
  <c r="EF26" i="1"/>
  <c r="EE26" i="1"/>
  <c r="ED26" i="1"/>
  <c r="EM25" i="1"/>
  <c r="EL25" i="1"/>
  <c r="EK25" i="1"/>
  <c r="EJ25" i="1"/>
  <c r="EI25" i="1"/>
  <c r="EH25" i="1"/>
  <c r="EG25" i="1"/>
  <c r="EF25" i="1"/>
  <c r="EE25" i="1"/>
  <c r="ED25" i="1"/>
  <c r="EM24" i="1"/>
  <c r="EL24" i="1"/>
  <c r="EK24" i="1"/>
  <c r="EJ24" i="1"/>
  <c r="EI24" i="1"/>
  <c r="EH24" i="1"/>
  <c r="EG24" i="1"/>
  <c r="EF24" i="1"/>
  <c r="EE24" i="1"/>
  <c r="ED24" i="1"/>
  <c r="EM23" i="1"/>
  <c r="EL23" i="1"/>
  <c r="EK23" i="1"/>
  <c r="EJ23" i="1"/>
  <c r="EI23" i="1"/>
  <c r="EH23" i="1"/>
  <c r="EG23" i="1"/>
  <c r="EF23" i="1"/>
  <c r="EE23" i="1"/>
  <c r="ED23" i="1"/>
  <c r="EM22" i="1"/>
  <c r="EL22" i="1"/>
  <c r="EK22" i="1"/>
  <c r="EJ22" i="1"/>
  <c r="EI22" i="1"/>
  <c r="EH22" i="1"/>
  <c r="EG22" i="1"/>
  <c r="EF22" i="1"/>
  <c r="EE22" i="1"/>
  <c r="ED22" i="1"/>
  <c r="EM21" i="1"/>
  <c r="EL21" i="1"/>
  <c r="EK21" i="1"/>
  <c r="EJ21" i="1"/>
  <c r="EI21" i="1"/>
  <c r="EH21" i="1"/>
  <c r="EG21" i="1"/>
  <c r="EF21" i="1"/>
  <c r="EE21" i="1"/>
  <c r="ED21" i="1"/>
  <c r="EM20" i="1"/>
  <c r="EL20" i="1"/>
  <c r="EK20" i="1"/>
  <c r="EJ20" i="1"/>
  <c r="EI20" i="1"/>
  <c r="EH20" i="1"/>
  <c r="EG20" i="1"/>
  <c r="EF20" i="1"/>
  <c r="EE20" i="1"/>
  <c r="ED20" i="1"/>
  <c r="EM19" i="1"/>
  <c r="EL19" i="1"/>
  <c r="EK19" i="1"/>
  <c r="EJ19" i="1"/>
  <c r="EI19" i="1"/>
  <c r="EH19" i="1"/>
  <c r="EG19" i="1"/>
  <c r="EF19" i="1"/>
  <c r="EE19" i="1"/>
  <c r="ED19" i="1"/>
  <c r="EM18" i="1"/>
  <c r="EL18" i="1"/>
  <c r="EK18" i="1"/>
  <c r="EJ18" i="1"/>
  <c r="EI18" i="1"/>
  <c r="EH18" i="1"/>
  <c r="EG18" i="1"/>
  <c r="EF18" i="1"/>
  <c r="EE18" i="1"/>
  <c r="ED18" i="1"/>
  <c r="EM17" i="1"/>
  <c r="EL17" i="1"/>
  <c r="EK17" i="1"/>
  <c r="EJ17" i="1"/>
  <c r="EI17" i="1"/>
  <c r="EH17" i="1"/>
  <c r="EG17" i="1"/>
  <c r="EF17" i="1"/>
  <c r="EE17" i="1"/>
  <c r="ED17" i="1"/>
  <c r="EM16" i="1"/>
  <c r="EL16" i="1"/>
  <c r="EK16" i="1"/>
  <c r="EJ16" i="1"/>
  <c r="EI16" i="1"/>
  <c r="EH16" i="1"/>
  <c r="EG16" i="1"/>
  <c r="EF16" i="1"/>
  <c r="EE16" i="1"/>
  <c r="ED16" i="1"/>
  <c r="EM15" i="1"/>
  <c r="EL15" i="1"/>
  <c r="EK15" i="1"/>
  <c r="EJ15" i="1"/>
  <c r="EI15" i="1"/>
  <c r="EH15" i="1"/>
  <c r="EG15" i="1"/>
  <c r="EF15" i="1"/>
  <c r="EE15" i="1"/>
  <c r="ED15" i="1"/>
  <c r="EM14" i="1"/>
  <c r="EL14" i="1"/>
  <c r="EK14" i="1"/>
  <c r="EJ14" i="1"/>
  <c r="EI14" i="1"/>
  <c r="EH14" i="1"/>
  <c r="EG14" i="1"/>
  <c r="EF14" i="1"/>
  <c r="EE14" i="1"/>
  <c r="ED14" i="1"/>
  <c r="EM13" i="1"/>
  <c r="EL13" i="1"/>
  <c r="EK13" i="1"/>
  <c r="EJ13" i="1"/>
  <c r="EI13" i="1"/>
  <c r="EH13" i="1"/>
  <c r="EG13" i="1"/>
  <c r="EF13" i="1"/>
  <c r="EE13" i="1"/>
  <c r="ED13" i="1"/>
  <c r="EM12" i="1"/>
  <c r="EL12" i="1"/>
  <c r="EK12" i="1"/>
  <c r="EJ12" i="1"/>
  <c r="EI12" i="1"/>
  <c r="EH12" i="1"/>
  <c r="EG12" i="1"/>
  <c r="EF12" i="1"/>
  <c r="EE12" i="1"/>
  <c r="ED12" i="1"/>
  <c r="EM11" i="1"/>
  <c r="EL11" i="1"/>
  <c r="EK11" i="1"/>
  <c r="EJ11" i="1"/>
  <c r="EI11" i="1"/>
  <c r="EH11" i="1"/>
  <c r="EG11" i="1"/>
  <c r="EF11" i="1"/>
  <c r="EE11" i="1"/>
  <c r="ED11" i="1"/>
  <c r="EM10" i="1"/>
  <c r="EL10" i="1"/>
  <c r="EK10" i="1"/>
  <c r="EJ10" i="1"/>
  <c r="EI10" i="1"/>
  <c r="EH10" i="1"/>
  <c r="EG10" i="1"/>
  <c r="EF10" i="1"/>
  <c r="EE10" i="1"/>
  <c r="ED10" i="1"/>
  <c r="EM9" i="1"/>
  <c r="EL9" i="1"/>
  <c r="EK9" i="1"/>
  <c r="EJ9" i="1"/>
  <c r="EI9" i="1"/>
  <c r="EH9" i="1"/>
  <c r="EG9" i="1"/>
  <c r="EF9" i="1"/>
  <c r="EE9" i="1"/>
  <c r="ED9" i="1"/>
  <c r="EM8" i="1"/>
  <c r="EL8" i="1"/>
  <c r="EK8" i="1"/>
  <c r="EJ8" i="1"/>
  <c r="EI8" i="1"/>
  <c r="EH8" i="1"/>
  <c r="EG8" i="1"/>
  <c r="EF8" i="1"/>
  <c r="EE8" i="1"/>
  <c r="ED8" i="1"/>
  <c r="EM7" i="1"/>
  <c r="EL7" i="1"/>
  <c r="EK7" i="1"/>
  <c r="EJ7" i="1"/>
  <c r="EI7" i="1"/>
  <c r="EH7" i="1"/>
  <c r="EG7" i="1"/>
  <c r="EF7" i="1"/>
  <c r="EE7" i="1"/>
  <c r="ED7" i="1"/>
  <c r="EM6" i="1"/>
  <c r="EL6" i="1"/>
  <c r="EK6" i="1"/>
  <c r="EJ6" i="1"/>
  <c r="EI6" i="1"/>
  <c r="EH6" i="1"/>
  <c r="EG6" i="1"/>
  <c r="EF6" i="1"/>
  <c r="EE6" i="1"/>
  <c r="ED6" i="1"/>
  <c r="EM5" i="1"/>
  <c r="EL5" i="1"/>
  <c r="EK5" i="1"/>
  <c r="EJ5" i="1"/>
  <c r="EI5" i="1"/>
  <c r="EH5" i="1"/>
  <c r="EM4" i="1"/>
  <c r="EL4" i="1"/>
  <c r="EK4" i="1"/>
  <c r="EJ4" i="1"/>
  <c r="EI4" i="1"/>
  <c r="EH4" i="1"/>
  <c r="EG4" i="1"/>
  <c r="EF4" i="1"/>
  <c r="EE4" i="1"/>
  <c r="ED4" i="1"/>
  <c r="EM3" i="1"/>
  <c r="EL3" i="1"/>
  <c r="EK3" i="1"/>
  <c r="EJ3" i="1"/>
  <c r="EI3" i="1"/>
  <c r="EH3" i="1"/>
  <c r="EG3" i="1"/>
  <c r="EF3" i="1"/>
  <c r="EE3" i="1"/>
  <c r="ED3" i="1"/>
  <c r="EM2" i="1"/>
  <c r="EL2" i="1"/>
  <c r="EK2" i="1"/>
  <c r="EJ2" i="1"/>
  <c r="EI2" i="1"/>
  <c r="EH2" i="1"/>
  <c r="EG2" i="1"/>
  <c r="EF2" i="1"/>
  <c r="EE2" i="1"/>
  <c r="ED2" i="1"/>
  <c r="EC234" i="1"/>
  <c r="EB234" i="1"/>
  <c r="EA234" i="1"/>
  <c r="DZ234" i="1"/>
  <c r="DY234" i="1"/>
  <c r="DX234" i="1"/>
  <c r="DW234" i="1"/>
  <c r="DV234" i="1"/>
  <c r="DU234" i="1"/>
  <c r="DT234" i="1"/>
  <c r="EC233" i="1"/>
  <c r="EB233" i="1"/>
  <c r="EA233" i="1"/>
  <c r="DZ233" i="1"/>
  <c r="DY233" i="1"/>
  <c r="DX233" i="1"/>
  <c r="DW233" i="1"/>
  <c r="DV233" i="1"/>
  <c r="DU233" i="1"/>
  <c r="DT233" i="1"/>
  <c r="EC232" i="1"/>
  <c r="EB232" i="1"/>
  <c r="EA232" i="1"/>
  <c r="DZ232" i="1"/>
  <c r="DY232" i="1"/>
  <c r="DX232" i="1"/>
  <c r="DW232" i="1"/>
  <c r="DV232" i="1"/>
  <c r="DU232" i="1"/>
  <c r="DT232" i="1"/>
  <c r="EC231" i="1"/>
  <c r="EB231" i="1"/>
  <c r="EA231" i="1"/>
  <c r="DZ231" i="1"/>
  <c r="DY231" i="1"/>
  <c r="DX231" i="1"/>
  <c r="DW231" i="1"/>
  <c r="DV231" i="1"/>
  <c r="DU231" i="1"/>
  <c r="DT231" i="1"/>
  <c r="EC230" i="1"/>
  <c r="EB230" i="1"/>
  <c r="EA230" i="1"/>
  <c r="DZ230" i="1"/>
  <c r="DY230" i="1"/>
  <c r="DX230" i="1"/>
  <c r="DW230" i="1"/>
  <c r="DV230" i="1"/>
  <c r="DU230" i="1"/>
  <c r="DT230" i="1"/>
  <c r="EC229" i="1"/>
  <c r="EB229" i="1"/>
  <c r="EA229" i="1"/>
  <c r="DZ229" i="1"/>
  <c r="DY229" i="1"/>
  <c r="DX229" i="1"/>
  <c r="DW229" i="1"/>
  <c r="DV229" i="1"/>
  <c r="DU229" i="1"/>
  <c r="DT229" i="1"/>
  <c r="EC228" i="1"/>
  <c r="EB228" i="1"/>
  <c r="EA228" i="1"/>
  <c r="DZ228" i="1"/>
  <c r="DY228" i="1"/>
  <c r="DX228" i="1"/>
  <c r="DW228" i="1"/>
  <c r="DV228" i="1"/>
  <c r="DU228" i="1"/>
  <c r="DT228" i="1"/>
  <c r="EC227" i="1"/>
  <c r="EB227" i="1"/>
  <c r="EA227" i="1"/>
  <c r="DZ227" i="1"/>
  <c r="DY227" i="1"/>
  <c r="DX227" i="1"/>
  <c r="DW227" i="1"/>
  <c r="DV227" i="1"/>
  <c r="DU227" i="1"/>
  <c r="DT227" i="1"/>
  <c r="EC226" i="1"/>
  <c r="EB226" i="1"/>
  <c r="EA226" i="1"/>
  <c r="DZ226" i="1"/>
  <c r="DY226" i="1"/>
  <c r="DX226" i="1"/>
  <c r="DW226" i="1"/>
  <c r="DV226" i="1"/>
  <c r="DU226" i="1"/>
  <c r="DT226" i="1"/>
  <c r="EC225" i="1"/>
  <c r="EB225" i="1"/>
  <c r="EA225" i="1"/>
  <c r="DZ225" i="1"/>
  <c r="DY225" i="1"/>
  <c r="DX225" i="1"/>
  <c r="DW225" i="1"/>
  <c r="DV225" i="1"/>
  <c r="DU225" i="1"/>
  <c r="DT225" i="1"/>
  <c r="EC224" i="1"/>
  <c r="EB224" i="1"/>
  <c r="EA224" i="1"/>
  <c r="DZ224" i="1"/>
  <c r="DY224" i="1"/>
  <c r="DX224" i="1"/>
  <c r="DW224" i="1"/>
  <c r="DV224" i="1"/>
  <c r="DU224" i="1"/>
  <c r="DT224" i="1"/>
  <c r="EC223" i="1"/>
  <c r="EB223" i="1"/>
  <c r="EA223" i="1"/>
  <c r="DZ223" i="1"/>
  <c r="DY223" i="1"/>
  <c r="DX223" i="1"/>
  <c r="DW223" i="1"/>
  <c r="DV223" i="1"/>
  <c r="DU223" i="1"/>
  <c r="DT223" i="1"/>
  <c r="EC222" i="1"/>
  <c r="EB222" i="1"/>
  <c r="EA222" i="1"/>
  <c r="DZ222" i="1"/>
  <c r="DY222" i="1"/>
  <c r="DX222" i="1"/>
  <c r="DW222" i="1"/>
  <c r="DV222" i="1"/>
  <c r="DU222" i="1"/>
  <c r="DT222" i="1"/>
  <c r="EC221" i="1"/>
  <c r="EB221" i="1"/>
  <c r="EA221" i="1"/>
  <c r="DZ221" i="1"/>
  <c r="DY221" i="1"/>
  <c r="DX221" i="1"/>
  <c r="DW221" i="1"/>
  <c r="DV221" i="1"/>
  <c r="DU221" i="1"/>
  <c r="DT221" i="1"/>
  <c r="EC220" i="1"/>
  <c r="EB220" i="1"/>
  <c r="EA220" i="1"/>
  <c r="DZ220" i="1"/>
  <c r="DY220" i="1"/>
  <c r="DX220" i="1"/>
  <c r="DW220" i="1"/>
  <c r="DV220" i="1"/>
  <c r="DU220" i="1"/>
  <c r="DT220" i="1"/>
  <c r="EC219" i="1"/>
  <c r="EB219" i="1"/>
  <c r="EA219" i="1"/>
  <c r="DZ219" i="1"/>
  <c r="DY219" i="1"/>
  <c r="DX219" i="1"/>
  <c r="DW219" i="1"/>
  <c r="DV219" i="1"/>
  <c r="DU219" i="1"/>
  <c r="DT219" i="1"/>
  <c r="EC218" i="1"/>
  <c r="EB218" i="1"/>
  <c r="EA218" i="1"/>
  <c r="DZ218" i="1"/>
  <c r="DY218" i="1"/>
  <c r="DX218" i="1"/>
  <c r="DW218" i="1"/>
  <c r="DV218" i="1"/>
  <c r="DU218" i="1"/>
  <c r="DT218" i="1"/>
  <c r="EC217" i="1"/>
  <c r="EB217" i="1"/>
  <c r="EA217" i="1"/>
  <c r="DZ217" i="1"/>
  <c r="DY217" i="1"/>
  <c r="DX217" i="1"/>
  <c r="DW217" i="1"/>
  <c r="DV217" i="1"/>
  <c r="DU217" i="1"/>
  <c r="DT217" i="1"/>
  <c r="EC216" i="1"/>
  <c r="EB216" i="1"/>
  <c r="EA216" i="1"/>
  <c r="DZ216" i="1"/>
  <c r="DY216" i="1"/>
  <c r="DX216" i="1"/>
  <c r="DW216" i="1"/>
  <c r="DV216" i="1"/>
  <c r="DU216" i="1"/>
  <c r="DT216" i="1"/>
  <c r="EC215" i="1"/>
  <c r="EB215" i="1"/>
  <c r="EA215" i="1"/>
  <c r="DZ215" i="1"/>
  <c r="DY215" i="1"/>
  <c r="DX215" i="1"/>
  <c r="DW215" i="1"/>
  <c r="DV215" i="1"/>
  <c r="DU215" i="1"/>
  <c r="DT215" i="1"/>
  <c r="EC214" i="1"/>
  <c r="EB214" i="1"/>
  <c r="EA214" i="1"/>
  <c r="DZ214" i="1"/>
  <c r="DY214" i="1"/>
  <c r="DX214" i="1"/>
  <c r="DW214" i="1"/>
  <c r="DV214" i="1"/>
  <c r="DU214" i="1"/>
  <c r="DT214" i="1"/>
  <c r="EC213" i="1"/>
  <c r="EB213" i="1"/>
  <c r="EA213" i="1"/>
  <c r="DZ213" i="1"/>
  <c r="DY213" i="1"/>
  <c r="DX213" i="1"/>
  <c r="DW213" i="1"/>
  <c r="DV213" i="1"/>
  <c r="DU213" i="1"/>
  <c r="DT213" i="1"/>
  <c r="EC212" i="1"/>
  <c r="EB212" i="1"/>
  <c r="EA212" i="1"/>
  <c r="DZ212" i="1"/>
  <c r="DY212" i="1"/>
  <c r="DX212" i="1"/>
  <c r="DW212" i="1"/>
  <c r="DV212" i="1"/>
  <c r="DU212" i="1"/>
  <c r="DT212" i="1"/>
  <c r="EC211" i="1"/>
  <c r="EB211" i="1"/>
  <c r="EA211" i="1"/>
  <c r="DZ211" i="1"/>
  <c r="DY211" i="1"/>
  <c r="DX211" i="1"/>
  <c r="DW211" i="1"/>
  <c r="DV211" i="1"/>
  <c r="DU211" i="1"/>
  <c r="DT211" i="1"/>
  <c r="EC210" i="1"/>
  <c r="EB210" i="1"/>
  <c r="EA210" i="1"/>
  <c r="DZ210" i="1"/>
  <c r="DY210" i="1"/>
  <c r="DX210" i="1"/>
  <c r="DW210" i="1"/>
  <c r="DV210" i="1"/>
  <c r="DU210" i="1"/>
  <c r="DT210" i="1"/>
  <c r="EC209" i="1"/>
  <c r="EB209" i="1"/>
  <c r="EA209" i="1"/>
  <c r="DZ209" i="1"/>
  <c r="DY209" i="1"/>
  <c r="DX209" i="1"/>
  <c r="DW209" i="1"/>
  <c r="DV209" i="1"/>
  <c r="DU209" i="1"/>
  <c r="DT209" i="1"/>
  <c r="EC208" i="1"/>
  <c r="EB208" i="1"/>
  <c r="EA208" i="1"/>
  <c r="DZ208" i="1"/>
  <c r="DY208" i="1"/>
  <c r="DX208" i="1"/>
  <c r="DW208" i="1"/>
  <c r="DV208" i="1"/>
  <c r="DU208" i="1"/>
  <c r="DT208" i="1"/>
  <c r="EC207" i="1"/>
  <c r="EB207" i="1"/>
  <c r="EA207" i="1"/>
  <c r="DZ207" i="1"/>
  <c r="DY207" i="1"/>
  <c r="DX207" i="1"/>
  <c r="DW207" i="1"/>
  <c r="DV207" i="1"/>
  <c r="DU207" i="1"/>
  <c r="DT207" i="1"/>
  <c r="EC206" i="1"/>
  <c r="EB206" i="1"/>
  <c r="EA206" i="1"/>
  <c r="DZ206" i="1"/>
  <c r="DY206" i="1"/>
  <c r="DX206" i="1"/>
  <c r="DW206" i="1"/>
  <c r="DV206" i="1"/>
  <c r="DU206" i="1"/>
  <c r="DT206" i="1"/>
  <c r="EC205" i="1"/>
  <c r="EB205" i="1"/>
  <c r="EA205" i="1"/>
  <c r="DZ205" i="1"/>
  <c r="DY205" i="1"/>
  <c r="DX205" i="1"/>
  <c r="DW205" i="1"/>
  <c r="DV205" i="1"/>
  <c r="DU205" i="1"/>
  <c r="DT205" i="1"/>
  <c r="EC204" i="1"/>
  <c r="EB204" i="1"/>
  <c r="EA204" i="1"/>
  <c r="DZ204" i="1"/>
  <c r="DY204" i="1"/>
  <c r="DX204" i="1"/>
  <c r="DW204" i="1"/>
  <c r="DV204" i="1"/>
  <c r="DU204" i="1"/>
  <c r="DT204" i="1"/>
  <c r="EC203" i="1"/>
  <c r="EB203" i="1"/>
  <c r="EA203" i="1"/>
  <c r="DZ203" i="1"/>
  <c r="DY203" i="1"/>
  <c r="DX203" i="1"/>
  <c r="DW203" i="1"/>
  <c r="DV203" i="1"/>
  <c r="DU203" i="1"/>
  <c r="DT203" i="1"/>
  <c r="EC202" i="1"/>
  <c r="EB202" i="1"/>
  <c r="EA202" i="1"/>
  <c r="DZ202" i="1"/>
  <c r="DY202" i="1"/>
  <c r="DX202" i="1"/>
  <c r="DW202" i="1"/>
  <c r="DV202" i="1"/>
  <c r="DU202" i="1"/>
  <c r="DT202" i="1"/>
  <c r="EC201" i="1"/>
  <c r="EB201" i="1"/>
  <c r="EA201" i="1"/>
  <c r="DZ201" i="1"/>
  <c r="DY201" i="1"/>
  <c r="DX201" i="1"/>
  <c r="DW201" i="1"/>
  <c r="DV201" i="1"/>
  <c r="DU201" i="1"/>
  <c r="DT201" i="1"/>
  <c r="EC200" i="1"/>
  <c r="EB200" i="1"/>
  <c r="EA200" i="1"/>
  <c r="DZ200" i="1"/>
  <c r="DY200" i="1"/>
  <c r="DX200" i="1"/>
  <c r="DW200" i="1"/>
  <c r="DV200" i="1"/>
  <c r="DU200" i="1"/>
  <c r="DT200" i="1"/>
  <c r="EC199" i="1"/>
  <c r="EB199" i="1"/>
  <c r="EA199" i="1"/>
  <c r="DZ199" i="1"/>
  <c r="DY199" i="1"/>
  <c r="DX199" i="1"/>
  <c r="DW199" i="1"/>
  <c r="DV199" i="1"/>
  <c r="DU199" i="1"/>
  <c r="DT199" i="1"/>
  <c r="EC198" i="1"/>
  <c r="EB198" i="1"/>
  <c r="EA198" i="1"/>
  <c r="DZ198" i="1"/>
  <c r="DY198" i="1"/>
  <c r="DX198" i="1"/>
  <c r="DW198" i="1"/>
  <c r="DV198" i="1"/>
  <c r="DU198" i="1"/>
  <c r="DT198" i="1"/>
  <c r="EC197" i="1"/>
  <c r="EB197" i="1"/>
  <c r="EA197" i="1"/>
  <c r="DZ197" i="1"/>
  <c r="DY197" i="1"/>
  <c r="DX197" i="1"/>
  <c r="DW197" i="1"/>
  <c r="DV197" i="1"/>
  <c r="DU197" i="1"/>
  <c r="DT197" i="1"/>
  <c r="EC196" i="1"/>
  <c r="EB196" i="1"/>
  <c r="EA196" i="1"/>
  <c r="DZ196" i="1"/>
  <c r="DY196" i="1"/>
  <c r="DX196" i="1"/>
  <c r="DW196" i="1"/>
  <c r="DV196" i="1"/>
  <c r="DU196" i="1"/>
  <c r="DT196" i="1"/>
  <c r="EC195" i="1"/>
  <c r="EB195" i="1"/>
  <c r="EA195" i="1"/>
  <c r="DZ195" i="1"/>
  <c r="DY195" i="1"/>
  <c r="DX195" i="1"/>
  <c r="DW195" i="1"/>
  <c r="DV195" i="1"/>
  <c r="DU195" i="1"/>
  <c r="DT195" i="1"/>
  <c r="EC194" i="1"/>
  <c r="EB194" i="1"/>
  <c r="EA194" i="1"/>
  <c r="DZ194" i="1"/>
  <c r="DY194" i="1"/>
  <c r="DX194" i="1"/>
  <c r="DW194" i="1"/>
  <c r="DV194" i="1"/>
  <c r="DU194" i="1"/>
  <c r="DT194" i="1"/>
  <c r="EC193" i="1"/>
  <c r="EB193" i="1"/>
  <c r="EA193" i="1"/>
  <c r="DZ193" i="1"/>
  <c r="DY193" i="1"/>
  <c r="DX193" i="1"/>
  <c r="DW193" i="1"/>
  <c r="DV193" i="1"/>
  <c r="DU193" i="1"/>
  <c r="DT193" i="1"/>
  <c r="EC192" i="1"/>
  <c r="EB192" i="1"/>
  <c r="EA192" i="1"/>
  <c r="DZ192" i="1"/>
  <c r="DY192" i="1"/>
  <c r="DX192" i="1"/>
  <c r="DW192" i="1"/>
  <c r="DV192" i="1"/>
  <c r="DU192" i="1"/>
  <c r="DT192" i="1"/>
  <c r="EC191" i="1"/>
  <c r="EB191" i="1"/>
  <c r="EA191" i="1"/>
  <c r="DZ191" i="1"/>
  <c r="DY191" i="1"/>
  <c r="DX191" i="1"/>
  <c r="DW191" i="1"/>
  <c r="DV191" i="1"/>
  <c r="DU191" i="1"/>
  <c r="DT191" i="1"/>
  <c r="EC190" i="1"/>
  <c r="EB190" i="1"/>
  <c r="EA190" i="1"/>
  <c r="DZ190" i="1"/>
  <c r="DY190" i="1"/>
  <c r="DX190" i="1"/>
  <c r="DW190" i="1"/>
  <c r="DV190" i="1"/>
  <c r="DU190" i="1"/>
  <c r="DT190" i="1"/>
  <c r="EC189" i="1"/>
  <c r="EB189" i="1"/>
  <c r="EA189" i="1"/>
  <c r="DZ189" i="1"/>
  <c r="DY189" i="1"/>
  <c r="DX189" i="1"/>
  <c r="DW189" i="1"/>
  <c r="DV189" i="1"/>
  <c r="DU189" i="1"/>
  <c r="DT189" i="1"/>
  <c r="EC188" i="1"/>
  <c r="EB188" i="1"/>
  <c r="EA188" i="1"/>
  <c r="DZ188" i="1"/>
  <c r="DY188" i="1"/>
  <c r="DX188" i="1"/>
  <c r="DW188" i="1"/>
  <c r="DV188" i="1"/>
  <c r="DU188" i="1"/>
  <c r="DT188" i="1"/>
  <c r="EC187" i="1"/>
  <c r="EB187" i="1"/>
  <c r="EA187" i="1"/>
  <c r="DZ187" i="1"/>
  <c r="DY187" i="1"/>
  <c r="DX187" i="1"/>
  <c r="DW187" i="1"/>
  <c r="DV187" i="1"/>
  <c r="DU187" i="1"/>
  <c r="DT187" i="1"/>
  <c r="EC186" i="1"/>
  <c r="EB186" i="1"/>
  <c r="EA186" i="1"/>
  <c r="DZ186" i="1"/>
  <c r="DY186" i="1"/>
  <c r="DX186" i="1"/>
  <c r="DW186" i="1"/>
  <c r="DV186" i="1"/>
  <c r="DU186" i="1"/>
  <c r="DT186" i="1"/>
  <c r="EC185" i="1"/>
  <c r="EB185" i="1"/>
  <c r="EA185" i="1"/>
  <c r="DZ185" i="1"/>
  <c r="DY185" i="1"/>
  <c r="DX185" i="1"/>
  <c r="DW185" i="1"/>
  <c r="DV185" i="1"/>
  <c r="DU185" i="1"/>
  <c r="DT185" i="1"/>
  <c r="EC184" i="1"/>
  <c r="EB184" i="1"/>
  <c r="EA184" i="1"/>
  <c r="DZ184" i="1"/>
  <c r="DY184" i="1"/>
  <c r="DX184" i="1"/>
  <c r="DW184" i="1"/>
  <c r="DV184" i="1"/>
  <c r="DU184" i="1"/>
  <c r="DT184" i="1"/>
  <c r="EC183" i="1"/>
  <c r="EB183" i="1"/>
  <c r="EA183" i="1"/>
  <c r="DZ183" i="1"/>
  <c r="DY183" i="1"/>
  <c r="DX183" i="1"/>
  <c r="DW183" i="1"/>
  <c r="DV183" i="1"/>
  <c r="DU183" i="1"/>
  <c r="DT183" i="1"/>
  <c r="EC182" i="1"/>
  <c r="EB182" i="1"/>
  <c r="EA182" i="1"/>
  <c r="DZ182" i="1"/>
  <c r="DY182" i="1"/>
  <c r="DX182" i="1"/>
  <c r="DW182" i="1"/>
  <c r="DV182" i="1"/>
  <c r="DU182" i="1"/>
  <c r="DT182" i="1"/>
  <c r="EC181" i="1"/>
  <c r="EB181" i="1"/>
  <c r="EA181" i="1"/>
  <c r="DZ181" i="1"/>
  <c r="DY181" i="1"/>
  <c r="DX181" i="1"/>
  <c r="DW181" i="1"/>
  <c r="DV181" i="1"/>
  <c r="DU181" i="1"/>
  <c r="DT181" i="1"/>
  <c r="EC180" i="1"/>
  <c r="EB180" i="1"/>
  <c r="EA180" i="1"/>
  <c r="DZ180" i="1"/>
  <c r="DY180" i="1"/>
  <c r="DX180" i="1"/>
  <c r="DW180" i="1"/>
  <c r="DV180" i="1"/>
  <c r="DU180" i="1"/>
  <c r="DT180" i="1"/>
  <c r="EC179" i="1"/>
  <c r="EB179" i="1"/>
  <c r="EA179" i="1"/>
  <c r="DZ179" i="1"/>
  <c r="DY179" i="1"/>
  <c r="DX179" i="1"/>
  <c r="DW179" i="1"/>
  <c r="DV179" i="1"/>
  <c r="DU179" i="1"/>
  <c r="DT179" i="1"/>
  <c r="EC178" i="1"/>
  <c r="EB178" i="1"/>
  <c r="EA178" i="1"/>
  <c r="DZ178" i="1"/>
  <c r="DY178" i="1"/>
  <c r="DX178" i="1"/>
  <c r="DW178" i="1"/>
  <c r="DV178" i="1"/>
  <c r="DU178" i="1"/>
  <c r="DT178" i="1"/>
  <c r="EC177" i="1"/>
  <c r="EB177" i="1"/>
  <c r="EA177" i="1"/>
  <c r="DZ177" i="1"/>
  <c r="DY177" i="1"/>
  <c r="DX177" i="1"/>
  <c r="DW177" i="1"/>
  <c r="DV177" i="1"/>
  <c r="DU177" i="1"/>
  <c r="DT177" i="1"/>
  <c r="EC176" i="1"/>
  <c r="EB176" i="1"/>
  <c r="EA176" i="1"/>
  <c r="DZ176" i="1"/>
  <c r="DY176" i="1"/>
  <c r="DX176" i="1"/>
  <c r="DW176" i="1"/>
  <c r="DV176" i="1"/>
  <c r="DU176" i="1"/>
  <c r="DT176" i="1"/>
  <c r="EC175" i="1"/>
  <c r="EB175" i="1"/>
  <c r="EA175" i="1"/>
  <c r="DZ175" i="1"/>
  <c r="DY175" i="1"/>
  <c r="DX175" i="1"/>
  <c r="DW175" i="1"/>
  <c r="DV175" i="1"/>
  <c r="DU175" i="1"/>
  <c r="DT175" i="1"/>
  <c r="EC174" i="1"/>
  <c r="EB174" i="1"/>
  <c r="EA174" i="1"/>
  <c r="DZ174" i="1"/>
  <c r="DY174" i="1"/>
  <c r="DX174" i="1"/>
  <c r="DW174" i="1"/>
  <c r="DV174" i="1"/>
  <c r="DU174" i="1"/>
  <c r="DT174" i="1"/>
  <c r="EC173" i="1"/>
  <c r="EB173" i="1"/>
  <c r="EA173" i="1"/>
  <c r="DZ173" i="1"/>
  <c r="DY173" i="1"/>
  <c r="DX173" i="1"/>
  <c r="DW173" i="1"/>
  <c r="DV173" i="1"/>
  <c r="DU173" i="1"/>
  <c r="DT173" i="1"/>
  <c r="EC172" i="1"/>
  <c r="EB172" i="1"/>
  <c r="EA172" i="1"/>
  <c r="DZ172" i="1"/>
  <c r="DY172" i="1"/>
  <c r="DX172" i="1"/>
  <c r="DW172" i="1"/>
  <c r="DV172" i="1"/>
  <c r="DU172" i="1"/>
  <c r="DT172" i="1"/>
  <c r="EC171" i="1"/>
  <c r="EB171" i="1"/>
  <c r="EA171" i="1"/>
  <c r="DZ171" i="1"/>
  <c r="DY171" i="1"/>
  <c r="DX171" i="1"/>
  <c r="DW171" i="1"/>
  <c r="DV171" i="1"/>
  <c r="DU171" i="1"/>
  <c r="DT171" i="1"/>
  <c r="EC170" i="1"/>
  <c r="EB170" i="1"/>
  <c r="EA170" i="1"/>
  <c r="DZ170" i="1"/>
  <c r="DY170" i="1"/>
  <c r="DX170" i="1"/>
  <c r="DW170" i="1"/>
  <c r="DV170" i="1"/>
  <c r="DU170" i="1"/>
  <c r="DT170" i="1"/>
  <c r="EC169" i="1"/>
  <c r="EB169" i="1"/>
  <c r="EA169" i="1"/>
  <c r="DZ169" i="1"/>
  <c r="DY169" i="1"/>
  <c r="DX169" i="1"/>
  <c r="DW169" i="1"/>
  <c r="DV169" i="1"/>
  <c r="DU169" i="1"/>
  <c r="DT169" i="1"/>
  <c r="EC168" i="1"/>
  <c r="EB168" i="1"/>
  <c r="EA168" i="1"/>
  <c r="DZ168" i="1"/>
  <c r="DY168" i="1"/>
  <c r="DX168" i="1"/>
  <c r="DW168" i="1"/>
  <c r="DV168" i="1"/>
  <c r="DU168" i="1"/>
  <c r="DT168" i="1"/>
  <c r="EC167" i="1"/>
  <c r="EB167" i="1"/>
  <c r="EA167" i="1"/>
  <c r="DZ167" i="1"/>
  <c r="DY167" i="1"/>
  <c r="DX167" i="1"/>
  <c r="DW167" i="1"/>
  <c r="EC166" i="1"/>
  <c r="EB166" i="1"/>
  <c r="EA166" i="1"/>
  <c r="DZ166" i="1"/>
  <c r="DY166" i="1"/>
  <c r="DX166" i="1"/>
  <c r="DW166" i="1"/>
  <c r="DV166" i="1"/>
  <c r="EC165" i="1"/>
  <c r="EB165" i="1"/>
  <c r="EA165" i="1"/>
  <c r="DZ165" i="1"/>
  <c r="DY165" i="1"/>
  <c r="DX165" i="1"/>
  <c r="DW165" i="1"/>
  <c r="DV165" i="1"/>
  <c r="EC164" i="1"/>
  <c r="EB164" i="1"/>
  <c r="EA164" i="1"/>
  <c r="DZ164" i="1"/>
  <c r="DY164" i="1"/>
  <c r="DX164" i="1"/>
  <c r="DW164" i="1"/>
  <c r="DV164" i="1"/>
  <c r="DU164" i="1"/>
  <c r="DT164" i="1"/>
  <c r="EC163" i="1"/>
  <c r="EB163" i="1"/>
  <c r="EA163" i="1"/>
  <c r="DZ163" i="1"/>
  <c r="DY163" i="1"/>
  <c r="DX163" i="1"/>
  <c r="DW163" i="1"/>
  <c r="DV163" i="1"/>
  <c r="DU163" i="1"/>
  <c r="DT163" i="1"/>
  <c r="EC162" i="1"/>
  <c r="EB162" i="1"/>
  <c r="EA162" i="1"/>
  <c r="DZ162" i="1"/>
  <c r="DY162" i="1"/>
  <c r="DX162" i="1"/>
  <c r="DW162" i="1"/>
  <c r="DV162" i="1"/>
  <c r="DU162" i="1"/>
  <c r="DT162" i="1"/>
  <c r="EC161" i="1"/>
  <c r="EB161" i="1"/>
  <c r="EA161" i="1"/>
  <c r="DZ161" i="1"/>
  <c r="DY161" i="1"/>
  <c r="DX161" i="1"/>
  <c r="DW161" i="1"/>
  <c r="DV161" i="1"/>
  <c r="DU161" i="1"/>
  <c r="DT161" i="1"/>
  <c r="EC160" i="1"/>
  <c r="EB160" i="1"/>
  <c r="EA160" i="1"/>
  <c r="DZ160" i="1"/>
  <c r="DY160" i="1"/>
  <c r="DX160" i="1"/>
  <c r="DW160" i="1"/>
  <c r="DV160" i="1"/>
  <c r="DU160" i="1"/>
  <c r="DT160" i="1"/>
  <c r="EC159" i="1"/>
  <c r="EB159" i="1"/>
  <c r="EA159" i="1"/>
  <c r="DZ159" i="1"/>
  <c r="DY159" i="1"/>
  <c r="DX159" i="1"/>
  <c r="DW159" i="1"/>
  <c r="DV159" i="1"/>
  <c r="DU159" i="1"/>
  <c r="DT159" i="1"/>
  <c r="EC158" i="1"/>
  <c r="EB158" i="1"/>
  <c r="EA158" i="1"/>
  <c r="DZ158" i="1"/>
  <c r="DY158" i="1"/>
  <c r="DX158" i="1"/>
  <c r="DW158" i="1"/>
  <c r="DV158" i="1"/>
  <c r="DU158" i="1"/>
  <c r="DT158" i="1"/>
  <c r="EC157" i="1"/>
  <c r="EB157" i="1"/>
  <c r="EA157" i="1"/>
  <c r="DZ157" i="1"/>
  <c r="DY157" i="1"/>
  <c r="DX157" i="1"/>
  <c r="DW157" i="1"/>
  <c r="DV157" i="1"/>
  <c r="DU157" i="1"/>
  <c r="DT157" i="1"/>
  <c r="EC156" i="1"/>
  <c r="EB156" i="1"/>
  <c r="EA156" i="1"/>
  <c r="DZ156" i="1"/>
  <c r="DY156" i="1"/>
  <c r="DX156" i="1"/>
  <c r="DW156" i="1"/>
  <c r="DV156" i="1"/>
  <c r="DU156" i="1"/>
  <c r="DT156" i="1"/>
  <c r="EC155" i="1"/>
  <c r="EB155" i="1"/>
  <c r="EA155" i="1"/>
  <c r="DZ155" i="1"/>
  <c r="DY155" i="1"/>
  <c r="DX155" i="1"/>
  <c r="DW155" i="1"/>
  <c r="DV155" i="1"/>
  <c r="DU155" i="1"/>
  <c r="DT155" i="1"/>
  <c r="EC154" i="1"/>
  <c r="EB154" i="1"/>
  <c r="EA154" i="1"/>
  <c r="DZ154" i="1"/>
  <c r="DY154" i="1"/>
  <c r="DX154" i="1"/>
  <c r="DW154" i="1"/>
  <c r="DV154" i="1"/>
  <c r="DU154" i="1"/>
  <c r="DT154" i="1"/>
  <c r="EC153" i="1"/>
  <c r="EB153" i="1"/>
  <c r="EA153" i="1"/>
  <c r="DZ153" i="1"/>
  <c r="DY153" i="1"/>
  <c r="DX153" i="1"/>
  <c r="DW153" i="1"/>
  <c r="DV153" i="1"/>
  <c r="EC152" i="1"/>
  <c r="EB152" i="1"/>
  <c r="EA152" i="1"/>
  <c r="DZ152" i="1"/>
  <c r="DY152" i="1"/>
  <c r="DX152" i="1"/>
  <c r="DW152" i="1"/>
  <c r="DV152" i="1"/>
  <c r="EC151" i="1"/>
  <c r="EB151" i="1"/>
  <c r="EA151" i="1"/>
  <c r="DZ151" i="1"/>
  <c r="DY151" i="1"/>
  <c r="DX151" i="1"/>
  <c r="DW151" i="1"/>
  <c r="DV151" i="1"/>
  <c r="EC150" i="1"/>
  <c r="EB150" i="1"/>
  <c r="EA150" i="1"/>
  <c r="DZ150" i="1"/>
  <c r="DY150" i="1"/>
  <c r="DX150" i="1"/>
  <c r="DW150" i="1"/>
  <c r="DV150" i="1"/>
  <c r="DU150" i="1"/>
  <c r="DT150" i="1"/>
  <c r="EC149" i="1"/>
  <c r="EB149" i="1"/>
  <c r="EA149" i="1"/>
  <c r="DZ149" i="1"/>
  <c r="DY149" i="1"/>
  <c r="DX149" i="1"/>
  <c r="DW149" i="1"/>
  <c r="DV149" i="1"/>
  <c r="DU149" i="1"/>
  <c r="DT149" i="1"/>
  <c r="EC148" i="1"/>
  <c r="EB148" i="1"/>
  <c r="EA148" i="1"/>
  <c r="DZ148" i="1"/>
  <c r="DY148" i="1"/>
  <c r="DX148" i="1"/>
  <c r="DW148" i="1"/>
  <c r="DV148" i="1"/>
  <c r="DU148" i="1"/>
  <c r="DT148" i="1"/>
  <c r="EC147" i="1"/>
  <c r="EB147" i="1"/>
  <c r="EA147" i="1"/>
  <c r="DZ147" i="1"/>
  <c r="DY147" i="1"/>
  <c r="DX147" i="1"/>
  <c r="DW147" i="1"/>
  <c r="DV147" i="1"/>
  <c r="DU147" i="1"/>
  <c r="DT147" i="1"/>
  <c r="EC146" i="1"/>
  <c r="EB146" i="1"/>
  <c r="EA146" i="1"/>
  <c r="DZ146" i="1"/>
  <c r="DY146" i="1"/>
  <c r="EC145" i="1"/>
  <c r="EB145" i="1"/>
  <c r="EA145" i="1"/>
  <c r="DZ145" i="1"/>
  <c r="DY145" i="1"/>
  <c r="DX145" i="1"/>
  <c r="DW145" i="1"/>
  <c r="DV145" i="1"/>
  <c r="EC144" i="1"/>
  <c r="EB144" i="1"/>
  <c r="EA144" i="1"/>
  <c r="DZ144" i="1"/>
  <c r="DY144" i="1"/>
  <c r="DX144" i="1"/>
  <c r="EC143" i="1"/>
  <c r="EB143" i="1"/>
  <c r="EA143" i="1"/>
  <c r="DZ143" i="1"/>
  <c r="DY143" i="1"/>
  <c r="EC142" i="1"/>
  <c r="EB142" i="1"/>
  <c r="EA142" i="1"/>
  <c r="DZ142" i="1"/>
  <c r="DY142" i="1"/>
  <c r="DX142" i="1"/>
  <c r="DW142" i="1"/>
  <c r="DV142" i="1"/>
  <c r="DU142" i="1"/>
  <c r="DT142" i="1"/>
  <c r="EC141" i="1"/>
  <c r="EB141" i="1"/>
  <c r="EA141" i="1"/>
  <c r="DZ141" i="1"/>
  <c r="DY141" i="1"/>
  <c r="DX141" i="1"/>
  <c r="DW141" i="1"/>
  <c r="DV141" i="1"/>
  <c r="DU141" i="1"/>
  <c r="DT141" i="1"/>
  <c r="EC140" i="1"/>
  <c r="EB140" i="1"/>
  <c r="EA140" i="1"/>
  <c r="DZ140" i="1"/>
  <c r="DY140" i="1"/>
  <c r="DX140" i="1"/>
  <c r="DW140" i="1"/>
  <c r="DV140" i="1"/>
  <c r="DU140" i="1"/>
  <c r="DT140" i="1"/>
  <c r="EC139" i="1"/>
  <c r="EB139" i="1"/>
  <c r="EA139" i="1"/>
  <c r="DZ139" i="1"/>
  <c r="DY139" i="1"/>
  <c r="DX139" i="1"/>
  <c r="DW139" i="1"/>
  <c r="DV139" i="1"/>
  <c r="DU139" i="1"/>
  <c r="DT139" i="1"/>
  <c r="EC138" i="1"/>
  <c r="EB138" i="1"/>
  <c r="EA138" i="1"/>
  <c r="DZ138" i="1"/>
  <c r="DY138" i="1"/>
  <c r="DX138" i="1"/>
  <c r="DW138" i="1"/>
  <c r="DV138" i="1"/>
  <c r="DU138" i="1"/>
  <c r="DT138" i="1"/>
  <c r="EC137" i="1"/>
  <c r="EB137" i="1"/>
  <c r="EA137" i="1"/>
  <c r="DZ137" i="1"/>
  <c r="DY137" i="1"/>
  <c r="DX137" i="1"/>
  <c r="DW137" i="1"/>
  <c r="DV137" i="1"/>
  <c r="DU137" i="1"/>
  <c r="DT137" i="1"/>
  <c r="EC136" i="1"/>
  <c r="EB136" i="1"/>
  <c r="EA136" i="1"/>
  <c r="DZ136" i="1"/>
  <c r="DY136" i="1"/>
  <c r="DX136" i="1"/>
  <c r="DW136" i="1"/>
  <c r="DV136" i="1"/>
  <c r="DU136" i="1"/>
  <c r="DT136" i="1"/>
  <c r="EC135" i="1"/>
  <c r="EB135" i="1"/>
  <c r="EA135" i="1"/>
  <c r="DZ135" i="1"/>
  <c r="DY135" i="1"/>
  <c r="DX135" i="1"/>
  <c r="DW135" i="1"/>
  <c r="DV135" i="1"/>
  <c r="DU135" i="1"/>
  <c r="DT135" i="1"/>
  <c r="EC134" i="1"/>
  <c r="EB134" i="1"/>
  <c r="EA134" i="1"/>
  <c r="DZ134" i="1"/>
  <c r="DY134" i="1"/>
  <c r="DX134" i="1"/>
  <c r="DW134" i="1"/>
  <c r="DV134" i="1"/>
  <c r="DU134" i="1"/>
  <c r="DT134" i="1"/>
  <c r="EC133" i="1"/>
  <c r="EB133" i="1"/>
  <c r="EA133" i="1"/>
  <c r="DZ133" i="1"/>
  <c r="DY133" i="1"/>
  <c r="DX133" i="1"/>
  <c r="DW133" i="1"/>
  <c r="DV133" i="1"/>
  <c r="DU133" i="1"/>
  <c r="DT133" i="1"/>
  <c r="EC132" i="1"/>
  <c r="EB132" i="1"/>
  <c r="EA132" i="1"/>
  <c r="DZ132" i="1"/>
  <c r="DY132" i="1"/>
  <c r="DX132" i="1"/>
  <c r="DW132" i="1"/>
  <c r="DV132" i="1"/>
  <c r="DU132" i="1"/>
  <c r="DT132" i="1"/>
  <c r="EC131" i="1"/>
  <c r="EB131" i="1"/>
  <c r="EA131" i="1"/>
  <c r="DZ131" i="1"/>
  <c r="DY131" i="1"/>
  <c r="DX131" i="1"/>
  <c r="DW131" i="1"/>
  <c r="DV131" i="1"/>
  <c r="DU131" i="1"/>
  <c r="DT131" i="1"/>
  <c r="EC130" i="1"/>
  <c r="EB130" i="1"/>
  <c r="EA130" i="1"/>
  <c r="DZ130" i="1"/>
  <c r="DY130" i="1"/>
  <c r="DX130" i="1"/>
  <c r="DW130" i="1"/>
  <c r="DV130" i="1"/>
  <c r="DU130" i="1"/>
  <c r="DT130" i="1"/>
  <c r="EC129" i="1"/>
  <c r="EB129" i="1"/>
  <c r="EA129" i="1"/>
  <c r="DZ129" i="1"/>
  <c r="DY129" i="1"/>
  <c r="DX129" i="1"/>
  <c r="DW129" i="1"/>
  <c r="DV129" i="1"/>
  <c r="DU129" i="1"/>
  <c r="DT129" i="1"/>
  <c r="EC128" i="1"/>
  <c r="EB128" i="1"/>
  <c r="EA128" i="1"/>
  <c r="DZ128" i="1"/>
  <c r="DY128" i="1"/>
  <c r="DX128" i="1"/>
  <c r="DW128" i="1"/>
  <c r="DV128" i="1"/>
  <c r="DU128" i="1"/>
  <c r="DT128" i="1"/>
  <c r="EC127" i="1"/>
  <c r="EB127" i="1"/>
  <c r="EA127" i="1"/>
  <c r="DZ127" i="1"/>
  <c r="DY127" i="1"/>
  <c r="DX127" i="1"/>
  <c r="DW127" i="1"/>
  <c r="DV127" i="1"/>
  <c r="DU127" i="1"/>
  <c r="DT127" i="1"/>
  <c r="EC126" i="1"/>
  <c r="EB126" i="1"/>
  <c r="EA126" i="1"/>
  <c r="DZ126" i="1"/>
  <c r="DY126" i="1"/>
  <c r="DX126" i="1"/>
  <c r="DW126" i="1"/>
  <c r="DV126" i="1"/>
  <c r="DU126" i="1"/>
  <c r="DT126" i="1"/>
  <c r="EC125" i="1"/>
  <c r="EB125" i="1"/>
  <c r="EA125" i="1"/>
  <c r="DZ125" i="1"/>
  <c r="DY125" i="1"/>
  <c r="DX125" i="1"/>
  <c r="DW125" i="1"/>
  <c r="DV125" i="1"/>
  <c r="DU125" i="1"/>
  <c r="DT125" i="1"/>
  <c r="EC124" i="1"/>
  <c r="EB124" i="1"/>
  <c r="EA124" i="1"/>
  <c r="DZ124" i="1"/>
  <c r="DY124" i="1"/>
  <c r="DX124" i="1"/>
  <c r="DW124" i="1"/>
  <c r="DV124" i="1"/>
  <c r="DU124" i="1"/>
  <c r="DT124" i="1"/>
  <c r="EC123" i="1"/>
  <c r="EB123" i="1"/>
  <c r="EA123" i="1"/>
  <c r="DZ123" i="1"/>
  <c r="DY123" i="1"/>
  <c r="DX123" i="1"/>
  <c r="DW123" i="1"/>
  <c r="DV123" i="1"/>
  <c r="DU123" i="1"/>
  <c r="DT123" i="1"/>
  <c r="EC122" i="1"/>
  <c r="EB122" i="1"/>
  <c r="EA122" i="1"/>
  <c r="DZ122" i="1"/>
  <c r="DY122" i="1"/>
  <c r="DX122" i="1"/>
  <c r="DW122" i="1"/>
  <c r="DV122" i="1"/>
  <c r="DU122" i="1"/>
  <c r="DT122" i="1"/>
  <c r="EC121" i="1"/>
  <c r="EB121" i="1"/>
  <c r="EA121" i="1"/>
  <c r="DZ121" i="1"/>
  <c r="DY121" i="1"/>
  <c r="DX121" i="1"/>
  <c r="DW121" i="1"/>
  <c r="DV121" i="1"/>
  <c r="DU121" i="1"/>
  <c r="DT121" i="1"/>
  <c r="EC120" i="1"/>
  <c r="EB120" i="1"/>
  <c r="EA120" i="1"/>
  <c r="DZ120" i="1"/>
  <c r="DY120" i="1"/>
  <c r="DX120" i="1"/>
  <c r="DW120" i="1"/>
  <c r="DV120" i="1"/>
  <c r="DU120" i="1"/>
  <c r="DT120" i="1"/>
  <c r="EC119" i="1"/>
  <c r="EB119" i="1"/>
  <c r="EA119" i="1"/>
  <c r="DZ119" i="1"/>
  <c r="DY119" i="1"/>
  <c r="DX119" i="1"/>
  <c r="DW119" i="1"/>
  <c r="DV119" i="1"/>
  <c r="DU119" i="1"/>
  <c r="DT119" i="1"/>
  <c r="EC118" i="1"/>
  <c r="EB118" i="1"/>
  <c r="EA118" i="1"/>
  <c r="DZ118" i="1"/>
  <c r="DY118" i="1"/>
  <c r="DX118" i="1"/>
  <c r="DW118" i="1"/>
  <c r="DV118" i="1"/>
  <c r="DU118" i="1"/>
  <c r="DT118" i="1"/>
  <c r="EC117" i="1"/>
  <c r="EB117" i="1"/>
  <c r="EA117" i="1"/>
  <c r="DZ117" i="1"/>
  <c r="DY117" i="1"/>
  <c r="DX117" i="1"/>
  <c r="DW117" i="1"/>
  <c r="DV117" i="1"/>
  <c r="DU117" i="1"/>
  <c r="DT117" i="1"/>
  <c r="EC116" i="1"/>
  <c r="EB116" i="1"/>
  <c r="EA116" i="1"/>
  <c r="DZ116" i="1"/>
  <c r="DY116" i="1"/>
  <c r="DX116" i="1"/>
  <c r="DW116" i="1"/>
  <c r="DV116" i="1"/>
  <c r="DU116" i="1"/>
  <c r="DT116" i="1"/>
  <c r="EC115" i="1"/>
  <c r="EB115" i="1"/>
  <c r="EA115" i="1"/>
  <c r="DZ115" i="1"/>
  <c r="DY115" i="1"/>
  <c r="DX115" i="1"/>
  <c r="DW115" i="1"/>
  <c r="DV115" i="1"/>
  <c r="DU115" i="1"/>
  <c r="DT115" i="1"/>
  <c r="EC114" i="1"/>
  <c r="EB114" i="1"/>
  <c r="EA114" i="1"/>
  <c r="DZ114" i="1"/>
  <c r="DY114" i="1"/>
  <c r="DX114" i="1"/>
  <c r="DW114" i="1"/>
  <c r="DV114" i="1"/>
  <c r="DU114" i="1"/>
  <c r="DT114" i="1"/>
  <c r="EC113" i="1"/>
  <c r="EB113" i="1"/>
  <c r="EA113" i="1"/>
  <c r="DZ113" i="1"/>
  <c r="DY113" i="1"/>
  <c r="DX113" i="1"/>
  <c r="DW113" i="1"/>
  <c r="DV113" i="1"/>
  <c r="DU113" i="1"/>
  <c r="DT113" i="1"/>
  <c r="EC112" i="1"/>
  <c r="EB112" i="1"/>
  <c r="EA112" i="1"/>
  <c r="DZ112" i="1"/>
  <c r="DY112" i="1"/>
  <c r="DX112" i="1"/>
  <c r="DW112" i="1"/>
  <c r="DV112" i="1"/>
  <c r="DU112" i="1"/>
  <c r="DT112" i="1"/>
  <c r="EC111" i="1"/>
  <c r="EB111" i="1"/>
  <c r="EA111" i="1"/>
  <c r="DZ111" i="1"/>
  <c r="DY111" i="1"/>
  <c r="DX111" i="1"/>
  <c r="DW111" i="1"/>
  <c r="DV111" i="1"/>
  <c r="DU111" i="1"/>
  <c r="DT111" i="1"/>
  <c r="EC110" i="1"/>
  <c r="EB110" i="1"/>
  <c r="EA110" i="1"/>
  <c r="DZ110" i="1"/>
  <c r="DY110" i="1"/>
  <c r="DX110" i="1"/>
  <c r="DW110" i="1"/>
  <c r="DV110" i="1"/>
  <c r="DU110" i="1"/>
  <c r="DT110" i="1"/>
  <c r="EC109" i="1"/>
  <c r="EB109" i="1"/>
  <c r="EA109" i="1"/>
  <c r="DZ109" i="1"/>
  <c r="DY109" i="1"/>
  <c r="DX109" i="1"/>
  <c r="DW109" i="1"/>
  <c r="DV109" i="1"/>
  <c r="DU109" i="1"/>
  <c r="DT109" i="1"/>
  <c r="EC108" i="1"/>
  <c r="EB108" i="1"/>
  <c r="EA108" i="1"/>
  <c r="DZ108" i="1"/>
  <c r="DY108" i="1"/>
  <c r="DX108" i="1"/>
  <c r="DW108" i="1"/>
  <c r="DV108" i="1"/>
  <c r="DU108" i="1"/>
  <c r="DT108" i="1"/>
  <c r="EC107" i="1"/>
  <c r="EB107" i="1"/>
  <c r="EA107" i="1"/>
  <c r="DZ107" i="1"/>
  <c r="DY107" i="1"/>
  <c r="DX107" i="1"/>
  <c r="DW107" i="1"/>
  <c r="DV107" i="1"/>
  <c r="DU107" i="1"/>
  <c r="DT107" i="1"/>
  <c r="EC106" i="1"/>
  <c r="EB106" i="1"/>
  <c r="EA106" i="1"/>
  <c r="DZ106" i="1"/>
  <c r="DY106" i="1"/>
  <c r="DX106" i="1"/>
  <c r="DW106" i="1"/>
  <c r="DV106" i="1"/>
  <c r="DU106" i="1"/>
  <c r="DT106" i="1"/>
  <c r="EC105" i="1"/>
  <c r="EB105" i="1"/>
  <c r="EA105" i="1"/>
  <c r="DZ105" i="1"/>
  <c r="DY105" i="1"/>
  <c r="DX105" i="1"/>
  <c r="DW105" i="1"/>
  <c r="DV105" i="1"/>
  <c r="DU105" i="1"/>
  <c r="DT105" i="1"/>
  <c r="EC104" i="1"/>
  <c r="EB104" i="1"/>
  <c r="EA104" i="1"/>
  <c r="DZ104" i="1"/>
  <c r="DY104" i="1"/>
  <c r="DX104" i="1"/>
  <c r="DW104" i="1"/>
  <c r="DV104" i="1"/>
  <c r="DU104" i="1"/>
  <c r="DT104" i="1"/>
  <c r="EC103" i="1"/>
  <c r="EB103" i="1"/>
  <c r="EA103" i="1"/>
  <c r="DZ103" i="1"/>
  <c r="DY103" i="1"/>
  <c r="DX103" i="1"/>
  <c r="DW103" i="1"/>
  <c r="DV103" i="1"/>
  <c r="DU103" i="1"/>
  <c r="DT103" i="1"/>
  <c r="EC102" i="1"/>
  <c r="EB102" i="1"/>
  <c r="EA102" i="1"/>
  <c r="DZ102" i="1"/>
  <c r="DY102" i="1"/>
  <c r="DX102" i="1"/>
  <c r="DW102" i="1"/>
  <c r="DV102" i="1"/>
  <c r="DU102" i="1"/>
  <c r="DT102" i="1"/>
  <c r="EC101" i="1"/>
  <c r="EB101" i="1"/>
  <c r="EA101" i="1"/>
  <c r="DZ101" i="1"/>
  <c r="DY101" i="1"/>
  <c r="DX101" i="1"/>
  <c r="DW101" i="1"/>
  <c r="DV101" i="1"/>
  <c r="DU101" i="1"/>
  <c r="DT101" i="1"/>
  <c r="EC100" i="1"/>
  <c r="EB100" i="1"/>
  <c r="EA100" i="1"/>
  <c r="DZ100" i="1"/>
  <c r="DY100" i="1"/>
  <c r="DX100" i="1"/>
  <c r="DW100" i="1"/>
  <c r="DV100" i="1"/>
  <c r="DU100" i="1"/>
  <c r="DT100" i="1"/>
  <c r="EC99" i="1"/>
  <c r="EB99" i="1"/>
  <c r="EA99" i="1"/>
  <c r="DZ99" i="1"/>
  <c r="DY99" i="1"/>
  <c r="DX99" i="1"/>
  <c r="DW99" i="1"/>
  <c r="DV99" i="1"/>
  <c r="DU99" i="1"/>
  <c r="DT99" i="1"/>
  <c r="EC98" i="1"/>
  <c r="EB98" i="1"/>
  <c r="EA98" i="1"/>
  <c r="DZ98" i="1"/>
  <c r="DY98" i="1"/>
  <c r="DX98" i="1"/>
  <c r="DW98" i="1"/>
  <c r="DV98" i="1"/>
  <c r="DU98" i="1"/>
  <c r="DT98" i="1"/>
  <c r="EC97" i="1"/>
  <c r="EB97" i="1"/>
  <c r="EA97" i="1"/>
  <c r="DZ97" i="1"/>
  <c r="DY97" i="1"/>
  <c r="DX97" i="1"/>
  <c r="DW97" i="1"/>
  <c r="DV97" i="1"/>
  <c r="DU97" i="1"/>
  <c r="DT97" i="1"/>
  <c r="EC96" i="1"/>
  <c r="EB96" i="1"/>
  <c r="EA96" i="1"/>
  <c r="DZ96" i="1"/>
  <c r="DY96" i="1"/>
  <c r="DX96" i="1"/>
  <c r="DW96" i="1"/>
  <c r="DV96" i="1"/>
  <c r="DU96" i="1"/>
  <c r="DT96" i="1"/>
  <c r="EC95" i="1"/>
  <c r="EB95" i="1"/>
  <c r="EA95" i="1"/>
  <c r="DZ95" i="1"/>
  <c r="DY95" i="1"/>
  <c r="DX95" i="1"/>
  <c r="DW95" i="1"/>
  <c r="DV95" i="1"/>
  <c r="DU95" i="1"/>
  <c r="DT95" i="1"/>
  <c r="EC94" i="1"/>
  <c r="EB94" i="1"/>
  <c r="EA94" i="1"/>
  <c r="DZ94" i="1"/>
  <c r="DY94" i="1"/>
  <c r="DX94" i="1"/>
  <c r="DW94" i="1"/>
  <c r="DV94" i="1"/>
  <c r="DU94" i="1"/>
  <c r="DT94" i="1"/>
  <c r="EC93" i="1"/>
  <c r="EB93" i="1"/>
  <c r="EA93" i="1"/>
  <c r="DZ93" i="1"/>
  <c r="DY93" i="1"/>
  <c r="DX93" i="1"/>
  <c r="DW93" i="1"/>
  <c r="DV93" i="1"/>
  <c r="DU93" i="1"/>
  <c r="DT93" i="1"/>
  <c r="EC92" i="1"/>
  <c r="EB92" i="1"/>
  <c r="EA92" i="1"/>
  <c r="DZ92" i="1"/>
  <c r="DY92" i="1"/>
  <c r="DX92" i="1"/>
  <c r="DW92" i="1"/>
  <c r="DV92" i="1"/>
  <c r="DU92" i="1"/>
  <c r="DT92" i="1"/>
  <c r="EC91" i="1"/>
  <c r="EB91" i="1"/>
  <c r="EA91" i="1"/>
  <c r="DZ91" i="1"/>
  <c r="DY91" i="1"/>
  <c r="DX91" i="1"/>
  <c r="DW91" i="1"/>
  <c r="DV91" i="1"/>
  <c r="DU91" i="1"/>
  <c r="DT91" i="1"/>
  <c r="EC90" i="1"/>
  <c r="EB90" i="1"/>
  <c r="EA90" i="1"/>
  <c r="DZ90" i="1"/>
  <c r="DY90" i="1"/>
  <c r="DX90" i="1"/>
  <c r="DW90" i="1"/>
  <c r="DV90" i="1"/>
  <c r="DU90" i="1"/>
  <c r="DT90" i="1"/>
  <c r="EC89" i="1"/>
  <c r="EB89" i="1"/>
  <c r="EA89" i="1"/>
  <c r="DZ89" i="1"/>
  <c r="DY89" i="1"/>
  <c r="DX89" i="1"/>
  <c r="DW89" i="1"/>
  <c r="DV89" i="1"/>
  <c r="DU89" i="1"/>
  <c r="DT89" i="1"/>
  <c r="EC88" i="1"/>
  <c r="EB88" i="1"/>
  <c r="EA88" i="1"/>
  <c r="DZ88" i="1"/>
  <c r="DY88" i="1"/>
  <c r="DX88" i="1"/>
  <c r="DW88" i="1"/>
  <c r="DV88" i="1"/>
  <c r="DU88" i="1"/>
  <c r="DT88" i="1"/>
  <c r="EC87" i="1"/>
  <c r="EB87" i="1"/>
  <c r="EA87" i="1"/>
  <c r="DZ87" i="1"/>
  <c r="DY87" i="1"/>
  <c r="DX87" i="1"/>
  <c r="DW87" i="1"/>
  <c r="DV87" i="1"/>
  <c r="DU87" i="1"/>
  <c r="DT87" i="1"/>
  <c r="EC86" i="1"/>
  <c r="EB86" i="1"/>
  <c r="EA86" i="1"/>
  <c r="DZ86" i="1"/>
  <c r="DY86" i="1"/>
  <c r="DX86" i="1"/>
  <c r="DW86" i="1"/>
  <c r="DV86" i="1"/>
  <c r="DU86" i="1"/>
  <c r="DT86" i="1"/>
  <c r="EC85" i="1"/>
  <c r="EB85" i="1"/>
  <c r="EA85" i="1"/>
  <c r="DZ85" i="1"/>
  <c r="DY85" i="1"/>
  <c r="DX85" i="1"/>
  <c r="DW85" i="1"/>
  <c r="DV85" i="1"/>
  <c r="DU85" i="1"/>
  <c r="DT85" i="1"/>
  <c r="EC84" i="1"/>
  <c r="EB84" i="1"/>
  <c r="EA84" i="1"/>
  <c r="DZ84" i="1"/>
  <c r="DY84" i="1"/>
  <c r="DX84" i="1"/>
  <c r="DW84" i="1"/>
  <c r="DV84" i="1"/>
  <c r="DU84" i="1"/>
  <c r="DT84" i="1"/>
  <c r="EC83" i="1"/>
  <c r="EB83" i="1"/>
  <c r="EA83" i="1"/>
  <c r="DZ83" i="1"/>
  <c r="DY83" i="1"/>
  <c r="DX83" i="1"/>
  <c r="DW83" i="1"/>
  <c r="DV83" i="1"/>
  <c r="DU83" i="1"/>
  <c r="DT83" i="1"/>
  <c r="EC82" i="1"/>
  <c r="EB82" i="1"/>
  <c r="EA82" i="1"/>
  <c r="DZ82" i="1"/>
  <c r="DY82" i="1"/>
  <c r="DX82" i="1"/>
  <c r="DW82" i="1"/>
  <c r="DV82" i="1"/>
  <c r="DU82" i="1"/>
  <c r="DT82" i="1"/>
  <c r="EC81" i="1"/>
  <c r="EB81" i="1"/>
  <c r="EA81" i="1"/>
  <c r="DZ81" i="1"/>
  <c r="DY81" i="1"/>
  <c r="DX81" i="1"/>
  <c r="DW81" i="1"/>
  <c r="DV81" i="1"/>
  <c r="DU81" i="1"/>
  <c r="DT81" i="1"/>
  <c r="EC80" i="1"/>
  <c r="EB80" i="1"/>
  <c r="EA80" i="1"/>
  <c r="DZ80" i="1"/>
  <c r="DY80" i="1"/>
  <c r="DX80" i="1"/>
  <c r="DW80" i="1"/>
  <c r="DV80" i="1"/>
  <c r="DU80" i="1"/>
  <c r="DT80" i="1"/>
  <c r="EC79" i="1"/>
  <c r="EB79" i="1"/>
  <c r="EA79" i="1"/>
  <c r="DZ79" i="1"/>
  <c r="DY79" i="1"/>
  <c r="DX79" i="1"/>
  <c r="DW79" i="1"/>
  <c r="DV79" i="1"/>
  <c r="DU79" i="1"/>
  <c r="DT79" i="1"/>
  <c r="EC78" i="1"/>
  <c r="EB78" i="1"/>
  <c r="EA78" i="1"/>
  <c r="DZ78" i="1"/>
  <c r="DY78" i="1"/>
  <c r="DX78" i="1"/>
  <c r="DW78" i="1"/>
  <c r="DV78" i="1"/>
  <c r="DU78" i="1"/>
  <c r="DT78" i="1"/>
  <c r="EC77" i="1"/>
  <c r="EB77" i="1"/>
  <c r="EA77" i="1"/>
  <c r="DZ77" i="1"/>
  <c r="DY77" i="1"/>
  <c r="DX77" i="1"/>
  <c r="DW77" i="1"/>
  <c r="DV77" i="1"/>
  <c r="DU77" i="1"/>
  <c r="DT77" i="1"/>
  <c r="EC76" i="1"/>
  <c r="EB76" i="1"/>
  <c r="EA76" i="1"/>
  <c r="DZ76" i="1"/>
  <c r="DY76" i="1"/>
  <c r="DX76" i="1"/>
  <c r="DW76" i="1"/>
  <c r="DV76" i="1"/>
  <c r="DU76" i="1"/>
  <c r="DT76" i="1"/>
  <c r="EC75" i="1"/>
  <c r="EB75" i="1"/>
  <c r="EA75" i="1"/>
  <c r="DZ75" i="1"/>
  <c r="DY75" i="1"/>
  <c r="DX75" i="1"/>
  <c r="DW75" i="1"/>
  <c r="DV75" i="1"/>
  <c r="DU75" i="1"/>
  <c r="DT75" i="1"/>
  <c r="EC74" i="1"/>
  <c r="EB74" i="1"/>
  <c r="EA74" i="1"/>
  <c r="DZ74" i="1"/>
  <c r="DY74" i="1"/>
  <c r="DX74" i="1"/>
  <c r="DW74" i="1"/>
  <c r="DV74" i="1"/>
  <c r="DU74" i="1"/>
  <c r="DT74" i="1"/>
  <c r="EC73" i="1"/>
  <c r="EB73" i="1"/>
  <c r="EA73" i="1"/>
  <c r="DZ73" i="1"/>
  <c r="DY73" i="1"/>
  <c r="DX73" i="1"/>
  <c r="DW73" i="1"/>
  <c r="DV73" i="1"/>
  <c r="DU73" i="1"/>
  <c r="DT73" i="1"/>
  <c r="EC72" i="1"/>
  <c r="EB72" i="1"/>
  <c r="EA72" i="1"/>
  <c r="DZ72" i="1"/>
  <c r="DY72" i="1"/>
  <c r="DX72" i="1"/>
  <c r="DW72" i="1"/>
  <c r="DV72" i="1"/>
  <c r="DU72" i="1"/>
  <c r="DT72" i="1"/>
  <c r="EC71" i="1"/>
  <c r="EB71" i="1"/>
  <c r="EA71" i="1"/>
  <c r="DZ71" i="1"/>
  <c r="DY71" i="1"/>
  <c r="DX71" i="1"/>
  <c r="DW71" i="1"/>
  <c r="DV71" i="1"/>
  <c r="DU71" i="1"/>
  <c r="DT71" i="1"/>
  <c r="EC70" i="1"/>
  <c r="EB70" i="1"/>
  <c r="EA70" i="1"/>
  <c r="DZ70" i="1"/>
  <c r="DY70" i="1"/>
  <c r="DX70" i="1"/>
  <c r="DW70" i="1"/>
  <c r="DV70" i="1"/>
  <c r="DU70" i="1"/>
  <c r="DT70" i="1"/>
  <c r="EC69" i="1"/>
  <c r="EB69" i="1"/>
  <c r="EA69" i="1"/>
  <c r="DZ69" i="1"/>
  <c r="DY69" i="1"/>
  <c r="DX69" i="1"/>
  <c r="DW69" i="1"/>
  <c r="DV69" i="1"/>
  <c r="DU69" i="1"/>
  <c r="DT69" i="1"/>
  <c r="EC68" i="1"/>
  <c r="EB68" i="1"/>
  <c r="EA68" i="1"/>
  <c r="DZ68" i="1"/>
  <c r="DY68" i="1"/>
  <c r="DX68" i="1"/>
  <c r="DW68" i="1"/>
  <c r="DV68" i="1"/>
  <c r="DU68" i="1"/>
  <c r="DT68" i="1"/>
  <c r="EC67" i="1"/>
  <c r="EB67" i="1"/>
  <c r="EA67" i="1"/>
  <c r="DZ67" i="1"/>
  <c r="DY67" i="1"/>
  <c r="DX67" i="1"/>
  <c r="DW67" i="1"/>
  <c r="DV67" i="1"/>
  <c r="DU67" i="1"/>
  <c r="DT67" i="1"/>
  <c r="EC66" i="1"/>
  <c r="EB66" i="1"/>
  <c r="EA66" i="1"/>
  <c r="DZ66" i="1"/>
  <c r="DY66" i="1"/>
  <c r="DX66" i="1"/>
  <c r="DW66" i="1"/>
  <c r="DV66" i="1"/>
  <c r="DU66" i="1"/>
  <c r="DT66" i="1"/>
  <c r="EC65" i="1"/>
  <c r="EB65" i="1"/>
  <c r="EA65" i="1"/>
  <c r="DZ65" i="1"/>
  <c r="DY65" i="1"/>
  <c r="DX65" i="1"/>
  <c r="DW65" i="1"/>
  <c r="DV65" i="1"/>
  <c r="DU65" i="1"/>
  <c r="DT65" i="1"/>
  <c r="EC64" i="1"/>
  <c r="EB64" i="1"/>
  <c r="EA64" i="1"/>
  <c r="DZ64" i="1"/>
  <c r="DY64" i="1"/>
  <c r="DX64" i="1"/>
  <c r="DW64" i="1"/>
  <c r="DV64" i="1"/>
  <c r="DU64" i="1"/>
  <c r="DT64" i="1"/>
  <c r="EC63" i="1"/>
  <c r="EB63" i="1"/>
  <c r="EA63" i="1"/>
  <c r="DZ63" i="1"/>
  <c r="DY63" i="1"/>
  <c r="DX63" i="1"/>
  <c r="DW63" i="1"/>
  <c r="DV63" i="1"/>
  <c r="DU63" i="1"/>
  <c r="DT63" i="1"/>
  <c r="EC62" i="1"/>
  <c r="EB62" i="1"/>
  <c r="EA62" i="1"/>
  <c r="DZ62" i="1"/>
  <c r="DY62" i="1"/>
  <c r="DX62" i="1"/>
  <c r="DW62" i="1"/>
  <c r="DV62" i="1"/>
  <c r="DU62" i="1"/>
  <c r="DT62" i="1"/>
  <c r="EC61" i="1"/>
  <c r="EB61" i="1"/>
  <c r="EA61" i="1"/>
  <c r="DZ61" i="1"/>
  <c r="DY61" i="1"/>
  <c r="DX61" i="1"/>
  <c r="DW61" i="1"/>
  <c r="DV61" i="1"/>
  <c r="DU61" i="1"/>
  <c r="DT61" i="1"/>
  <c r="EC60" i="1"/>
  <c r="EB60" i="1"/>
  <c r="EA60" i="1"/>
  <c r="DZ60" i="1"/>
  <c r="DY60" i="1"/>
  <c r="DX60" i="1"/>
  <c r="DW60" i="1"/>
  <c r="DV60" i="1"/>
  <c r="DU60" i="1"/>
  <c r="DT60" i="1"/>
  <c r="EC59" i="1"/>
  <c r="EB59" i="1"/>
  <c r="EA59" i="1"/>
  <c r="DZ59" i="1"/>
  <c r="DY59" i="1"/>
  <c r="DX59" i="1"/>
  <c r="DW59" i="1"/>
  <c r="DV59" i="1"/>
  <c r="DU59" i="1"/>
  <c r="DT59" i="1"/>
  <c r="EC58" i="1"/>
  <c r="EB58" i="1"/>
  <c r="EA58" i="1"/>
  <c r="DZ58" i="1"/>
  <c r="DY58" i="1"/>
  <c r="DX58" i="1"/>
  <c r="DW58" i="1"/>
  <c r="DV58" i="1"/>
  <c r="DU58" i="1"/>
  <c r="DT58" i="1"/>
  <c r="EC57" i="1"/>
  <c r="EB57" i="1"/>
  <c r="EA57" i="1"/>
  <c r="DZ57" i="1"/>
  <c r="DY57" i="1"/>
  <c r="DX57" i="1"/>
  <c r="DW57" i="1"/>
  <c r="DV57" i="1"/>
  <c r="DU57" i="1"/>
  <c r="DT57" i="1"/>
  <c r="EC56" i="1"/>
  <c r="EB56" i="1"/>
  <c r="EA56" i="1"/>
  <c r="DZ56" i="1"/>
  <c r="DY56" i="1"/>
  <c r="DX56" i="1"/>
  <c r="DW56" i="1"/>
  <c r="DV56" i="1"/>
  <c r="DU56" i="1"/>
  <c r="DT56" i="1"/>
  <c r="EC55" i="1"/>
  <c r="EB55" i="1"/>
  <c r="EA55" i="1"/>
  <c r="DZ55" i="1"/>
  <c r="DY55" i="1"/>
  <c r="DX55" i="1"/>
  <c r="DW55" i="1"/>
  <c r="DV55" i="1"/>
  <c r="DU55" i="1"/>
  <c r="DT55" i="1"/>
  <c r="EC54" i="1"/>
  <c r="EB54" i="1"/>
  <c r="EA54" i="1"/>
  <c r="DZ54" i="1"/>
  <c r="DY54" i="1"/>
  <c r="DX54" i="1"/>
  <c r="DW54" i="1"/>
  <c r="DV54" i="1"/>
  <c r="DU54" i="1"/>
  <c r="DT54" i="1"/>
  <c r="EC53" i="1"/>
  <c r="EB53" i="1"/>
  <c r="EA53" i="1"/>
  <c r="DZ53" i="1"/>
  <c r="DY53" i="1"/>
  <c r="DX53" i="1"/>
  <c r="DW53" i="1"/>
  <c r="DV53" i="1"/>
  <c r="DU53" i="1"/>
  <c r="DT53" i="1"/>
  <c r="EC52" i="1"/>
  <c r="EB52" i="1"/>
  <c r="EA52" i="1"/>
  <c r="DZ52" i="1"/>
  <c r="DY52" i="1"/>
  <c r="DX52" i="1"/>
  <c r="DW52" i="1"/>
  <c r="DV52" i="1"/>
  <c r="DU52" i="1"/>
  <c r="DT52" i="1"/>
  <c r="EC51" i="1"/>
  <c r="EB51" i="1"/>
  <c r="EA51" i="1"/>
  <c r="DZ51" i="1"/>
  <c r="DY51" i="1"/>
  <c r="DX51" i="1"/>
  <c r="DW51" i="1"/>
  <c r="DV51" i="1"/>
  <c r="DU51" i="1"/>
  <c r="DT51" i="1"/>
  <c r="EC50" i="1"/>
  <c r="EB50" i="1"/>
  <c r="EA50" i="1"/>
  <c r="DZ50" i="1"/>
  <c r="DY50" i="1"/>
  <c r="DX50" i="1"/>
  <c r="DW50" i="1"/>
  <c r="DV50" i="1"/>
  <c r="DU50" i="1"/>
  <c r="DT50" i="1"/>
  <c r="EC49" i="1"/>
  <c r="EB49" i="1"/>
  <c r="EA49" i="1"/>
  <c r="DZ49" i="1"/>
  <c r="DY49" i="1"/>
  <c r="DX49" i="1"/>
  <c r="DW49" i="1"/>
  <c r="DV49" i="1"/>
  <c r="DU49" i="1"/>
  <c r="DT49" i="1"/>
  <c r="EC48" i="1"/>
  <c r="EB48" i="1"/>
  <c r="EA48" i="1"/>
  <c r="DZ48" i="1"/>
  <c r="DY48" i="1"/>
  <c r="DX48" i="1"/>
  <c r="DW48" i="1"/>
  <c r="DV48" i="1"/>
  <c r="DU48" i="1"/>
  <c r="DT48" i="1"/>
  <c r="EC47" i="1"/>
  <c r="EB47" i="1"/>
  <c r="EA47" i="1"/>
  <c r="DZ47" i="1"/>
  <c r="DY47" i="1"/>
  <c r="DX47" i="1"/>
  <c r="DW47" i="1"/>
  <c r="DV47" i="1"/>
  <c r="DU47" i="1"/>
  <c r="DT47" i="1"/>
  <c r="EC46" i="1"/>
  <c r="EB46" i="1"/>
  <c r="EA46" i="1"/>
  <c r="DZ46" i="1"/>
  <c r="DY46" i="1"/>
  <c r="DX46" i="1"/>
  <c r="DW46" i="1"/>
  <c r="DV46" i="1"/>
  <c r="DU46" i="1"/>
  <c r="DT46" i="1"/>
  <c r="EC45" i="1"/>
  <c r="EB45" i="1"/>
  <c r="EA45" i="1"/>
  <c r="DZ45" i="1"/>
  <c r="DY45" i="1"/>
  <c r="DX45" i="1"/>
  <c r="DW45" i="1"/>
  <c r="DV45" i="1"/>
  <c r="DU45" i="1"/>
  <c r="DT45" i="1"/>
  <c r="EC44" i="1"/>
  <c r="EB44" i="1"/>
  <c r="EA44" i="1"/>
  <c r="DZ44" i="1"/>
  <c r="DY44" i="1"/>
  <c r="DX44" i="1"/>
  <c r="DW44" i="1"/>
  <c r="DV44" i="1"/>
  <c r="DU44" i="1"/>
  <c r="DT44" i="1"/>
  <c r="EC43" i="1"/>
  <c r="EB43" i="1"/>
  <c r="EA43" i="1"/>
  <c r="DZ43" i="1"/>
  <c r="DY43" i="1"/>
  <c r="DX43" i="1"/>
  <c r="DW43" i="1"/>
  <c r="DV43" i="1"/>
  <c r="DU43" i="1"/>
  <c r="DT43" i="1"/>
  <c r="EC42" i="1"/>
  <c r="EB42" i="1"/>
  <c r="EA42" i="1"/>
  <c r="DZ42" i="1"/>
  <c r="DY42" i="1"/>
  <c r="DX42" i="1"/>
  <c r="DW42" i="1"/>
  <c r="DV42" i="1"/>
  <c r="DU42" i="1"/>
  <c r="DT42" i="1"/>
  <c r="EC41" i="1"/>
  <c r="EB41" i="1"/>
  <c r="EA41" i="1"/>
  <c r="DZ41" i="1"/>
  <c r="DY41" i="1"/>
  <c r="DX41" i="1"/>
  <c r="DW41" i="1"/>
  <c r="DV41" i="1"/>
  <c r="DU41" i="1"/>
  <c r="DT41" i="1"/>
  <c r="EC40" i="1"/>
  <c r="EB40" i="1"/>
  <c r="EA40" i="1"/>
  <c r="DZ40" i="1"/>
  <c r="DY40" i="1"/>
  <c r="DX40" i="1"/>
  <c r="DW40" i="1"/>
  <c r="DV40" i="1"/>
  <c r="DU40" i="1"/>
  <c r="DT40" i="1"/>
  <c r="EC39" i="1"/>
  <c r="EB39" i="1"/>
  <c r="EA39" i="1"/>
  <c r="DZ39" i="1"/>
  <c r="DY39" i="1"/>
  <c r="DX39" i="1"/>
  <c r="DW39" i="1"/>
  <c r="DV39" i="1"/>
  <c r="DU39" i="1"/>
  <c r="DT39" i="1"/>
  <c r="EC38" i="1"/>
  <c r="EB38" i="1"/>
  <c r="EA38" i="1"/>
  <c r="DZ38" i="1"/>
  <c r="DY38" i="1"/>
  <c r="DX38" i="1"/>
  <c r="DW38" i="1"/>
  <c r="DV38" i="1"/>
  <c r="DU38" i="1"/>
  <c r="DT38" i="1"/>
  <c r="EC37" i="1"/>
  <c r="EB37" i="1"/>
  <c r="EA37" i="1"/>
  <c r="DZ37" i="1"/>
  <c r="DY37" i="1"/>
  <c r="DX37" i="1"/>
  <c r="DW37" i="1"/>
  <c r="DV37" i="1"/>
  <c r="DU37" i="1"/>
  <c r="DT37" i="1"/>
  <c r="EC36" i="1"/>
  <c r="EB36" i="1"/>
  <c r="EA36" i="1"/>
  <c r="DZ36" i="1"/>
  <c r="DY36" i="1"/>
  <c r="DX36" i="1"/>
  <c r="DW36" i="1"/>
  <c r="DV36" i="1"/>
  <c r="DU36" i="1"/>
  <c r="DT36" i="1"/>
  <c r="EC35" i="1"/>
  <c r="EB35" i="1"/>
  <c r="EA35" i="1"/>
  <c r="DZ35" i="1"/>
  <c r="DY35" i="1"/>
  <c r="DX35" i="1"/>
  <c r="DW35" i="1"/>
  <c r="DV35" i="1"/>
  <c r="DU35" i="1"/>
  <c r="DT35" i="1"/>
  <c r="EC34" i="1"/>
  <c r="EB34" i="1"/>
  <c r="EA34" i="1"/>
  <c r="DZ34" i="1"/>
  <c r="DY34" i="1"/>
  <c r="DX34" i="1"/>
  <c r="DW34" i="1"/>
  <c r="DV34" i="1"/>
  <c r="DU34" i="1"/>
  <c r="DT34" i="1"/>
  <c r="EC33" i="1"/>
  <c r="EB33" i="1"/>
  <c r="EA33" i="1"/>
  <c r="DZ33" i="1"/>
  <c r="DY33" i="1"/>
  <c r="DX33" i="1"/>
  <c r="DW33" i="1"/>
  <c r="DV33" i="1"/>
  <c r="DU33" i="1"/>
  <c r="DT33" i="1"/>
  <c r="EC32" i="1"/>
  <c r="EB32" i="1"/>
  <c r="EA32" i="1"/>
  <c r="DZ32" i="1"/>
  <c r="DY32" i="1"/>
  <c r="DX32" i="1"/>
  <c r="DW32" i="1"/>
  <c r="DV32" i="1"/>
  <c r="DU32" i="1"/>
  <c r="DT32" i="1"/>
  <c r="EC31" i="1"/>
  <c r="EB31" i="1"/>
  <c r="EA31" i="1"/>
  <c r="DZ31" i="1"/>
  <c r="DY31" i="1"/>
  <c r="DX31" i="1"/>
  <c r="DW31" i="1"/>
  <c r="DV31" i="1"/>
  <c r="DU31" i="1"/>
  <c r="DT31" i="1"/>
  <c r="EC30" i="1"/>
  <c r="EB30" i="1"/>
  <c r="EA30" i="1"/>
  <c r="DZ30" i="1"/>
  <c r="DY30" i="1"/>
  <c r="DX30" i="1"/>
  <c r="DW30" i="1"/>
  <c r="DV30" i="1"/>
  <c r="DU30" i="1"/>
  <c r="DT30" i="1"/>
  <c r="EC29" i="1"/>
  <c r="EB29" i="1"/>
  <c r="EA29" i="1"/>
  <c r="DZ29" i="1"/>
  <c r="DY29" i="1"/>
  <c r="DX29" i="1"/>
  <c r="DW29" i="1"/>
  <c r="DV29" i="1"/>
  <c r="DU29" i="1"/>
  <c r="DT29" i="1"/>
  <c r="EC28" i="1"/>
  <c r="EB28" i="1"/>
  <c r="EA28" i="1"/>
  <c r="DZ28" i="1"/>
  <c r="DY28" i="1"/>
  <c r="DX28" i="1"/>
  <c r="DW28" i="1"/>
  <c r="DV28" i="1"/>
  <c r="DU28" i="1"/>
  <c r="DT28" i="1"/>
  <c r="EC27" i="1"/>
  <c r="EB27" i="1"/>
  <c r="EA27" i="1"/>
  <c r="DZ27" i="1"/>
  <c r="DY27" i="1"/>
  <c r="DX27" i="1"/>
  <c r="DW27" i="1"/>
  <c r="DV27" i="1"/>
  <c r="DU27" i="1"/>
  <c r="DT27" i="1"/>
  <c r="EC26" i="1"/>
  <c r="EB26" i="1"/>
  <c r="EA26" i="1"/>
  <c r="DZ26" i="1"/>
  <c r="DY26" i="1"/>
  <c r="DX26" i="1"/>
  <c r="DW26" i="1"/>
  <c r="DV26" i="1"/>
  <c r="DU26" i="1"/>
  <c r="DT26" i="1"/>
  <c r="EC25" i="1"/>
  <c r="EB25" i="1"/>
  <c r="EA25" i="1"/>
  <c r="DZ25" i="1"/>
  <c r="DY25" i="1"/>
  <c r="DX25" i="1"/>
  <c r="DW25" i="1"/>
  <c r="DV25" i="1"/>
  <c r="DU25" i="1"/>
  <c r="DT25" i="1"/>
  <c r="EC24" i="1"/>
  <c r="EB24" i="1"/>
  <c r="EA24" i="1"/>
  <c r="DZ24" i="1"/>
  <c r="DY24" i="1"/>
  <c r="DX24" i="1"/>
  <c r="DW24" i="1"/>
  <c r="DV24" i="1"/>
  <c r="DU24" i="1"/>
  <c r="DT24" i="1"/>
  <c r="EC23" i="1"/>
  <c r="EB23" i="1"/>
  <c r="EA23" i="1"/>
  <c r="DZ23" i="1"/>
  <c r="DY23" i="1"/>
  <c r="DX23" i="1"/>
  <c r="DW23" i="1"/>
  <c r="DV23" i="1"/>
  <c r="DU23" i="1"/>
  <c r="DT23" i="1"/>
  <c r="EC22" i="1"/>
  <c r="EB22" i="1"/>
  <c r="EA22" i="1"/>
  <c r="DZ22" i="1"/>
  <c r="DY22" i="1"/>
  <c r="DX22" i="1"/>
  <c r="DW22" i="1"/>
  <c r="DV22" i="1"/>
  <c r="DU22" i="1"/>
  <c r="DT22" i="1"/>
  <c r="EC21" i="1"/>
  <c r="EB21" i="1"/>
  <c r="EA21" i="1"/>
  <c r="DZ21" i="1"/>
  <c r="DY21" i="1"/>
  <c r="DX21" i="1"/>
  <c r="DW21" i="1"/>
  <c r="DV21" i="1"/>
  <c r="DU21" i="1"/>
  <c r="DT21" i="1"/>
  <c r="EC20" i="1"/>
  <c r="EB20" i="1"/>
  <c r="EA20" i="1"/>
  <c r="DZ20" i="1"/>
  <c r="DY20" i="1"/>
  <c r="DX20" i="1"/>
  <c r="DW20" i="1"/>
  <c r="DV20" i="1"/>
  <c r="DU20" i="1"/>
  <c r="DT20" i="1"/>
  <c r="EC19" i="1"/>
  <c r="EB19" i="1"/>
  <c r="EA19" i="1"/>
  <c r="DZ19" i="1"/>
  <c r="DY19" i="1"/>
  <c r="DX19" i="1"/>
  <c r="DW19" i="1"/>
  <c r="DV19" i="1"/>
  <c r="DU19" i="1"/>
  <c r="DT19" i="1"/>
  <c r="EC18" i="1"/>
  <c r="EB18" i="1"/>
  <c r="EA18" i="1"/>
  <c r="DZ18" i="1"/>
  <c r="DY18" i="1"/>
  <c r="DX18" i="1"/>
  <c r="DW18" i="1"/>
  <c r="DV18" i="1"/>
  <c r="DU18" i="1"/>
  <c r="DT18" i="1"/>
  <c r="EC17" i="1"/>
  <c r="EB17" i="1"/>
  <c r="EA17" i="1"/>
  <c r="DZ17" i="1"/>
  <c r="DY17" i="1"/>
  <c r="DX17" i="1"/>
  <c r="DW17" i="1"/>
  <c r="DV17" i="1"/>
  <c r="DU17" i="1"/>
  <c r="DT17" i="1"/>
  <c r="EC16" i="1"/>
  <c r="EB16" i="1"/>
  <c r="EA16" i="1"/>
  <c r="DZ16" i="1"/>
  <c r="DY16" i="1"/>
  <c r="DX16" i="1"/>
  <c r="DW16" i="1"/>
  <c r="DV16" i="1"/>
  <c r="DU16" i="1"/>
  <c r="DT16" i="1"/>
  <c r="EC15" i="1"/>
  <c r="EB15" i="1"/>
  <c r="EA15" i="1"/>
  <c r="DZ15" i="1"/>
  <c r="DY15" i="1"/>
  <c r="DX15" i="1"/>
  <c r="DW15" i="1"/>
  <c r="DV15" i="1"/>
  <c r="DU15" i="1"/>
  <c r="DT15" i="1"/>
  <c r="EC14" i="1"/>
  <c r="EB14" i="1"/>
  <c r="EA14" i="1"/>
  <c r="DZ14" i="1"/>
  <c r="DY14" i="1"/>
  <c r="DX14" i="1"/>
  <c r="DW14" i="1"/>
  <c r="DV14" i="1"/>
  <c r="DU14" i="1"/>
  <c r="DT14" i="1"/>
  <c r="EC13" i="1"/>
  <c r="EB13" i="1"/>
  <c r="EA13" i="1"/>
  <c r="DZ13" i="1"/>
  <c r="DY13" i="1"/>
  <c r="DX13" i="1"/>
  <c r="DW13" i="1"/>
  <c r="DV13" i="1"/>
  <c r="DU13" i="1"/>
  <c r="DT13" i="1"/>
  <c r="EC12" i="1"/>
  <c r="EB12" i="1"/>
  <c r="EA12" i="1"/>
  <c r="DZ12" i="1"/>
  <c r="DY12" i="1"/>
  <c r="DX12" i="1"/>
  <c r="DW12" i="1"/>
  <c r="DV12" i="1"/>
  <c r="DU12" i="1"/>
  <c r="DT12" i="1"/>
  <c r="EC11" i="1"/>
  <c r="EB11" i="1"/>
  <c r="EA11" i="1"/>
  <c r="DZ11" i="1"/>
  <c r="DY11" i="1"/>
  <c r="DX11" i="1"/>
  <c r="DW11" i="1"/>
  <c r="DV11" i="1"/>
  <c r="DU11" i="1"/>
  <c r="DT11" i="1"/>
  <c r="EC10" i="1"/>
  <c r="EB10" i="1"/>
  <c r="EA10" i="1"/>
  <c r="DZ10" i="1"/>
  <c r="DY10" i="1"/>
  <c r="DX10" i="1"/>
  <c r="DW10" i="1"/>
  <c r="DV10" i="1"/>
  <c r="DU10" i="1"/>
  <c r="DT10" i="1"/>
  <c r="EC9" i="1"/>
  <c r="EB9" i="1"/>
  <c r="EA9" i="1"/>
  <c r="DZ9" i="1"/>
  <c r="DY9" i="1"/>
  <c r="DX9" i="1"/>
  <c r="DW9" i="1"/>
  <c r="DV9" i="1"/>
  <c r="DU9" i="1"/>
  <c r="DT9" i="1"/>
  <c r="EC8" i="1"/>
  <c r="EB8" i="1"/>
  <c r="EA8" i="1"/>
  <c r="DZ8" i="1"/>
  <c r="DY8" i="1"/>
  <c r="DX8" i="1"/>
  <c r="DW8" i="1"/>
  <c r="DV8" i="1"/>
  <c r="DU8" i="1"/>
  <c r="DT8" i="1"/>
  <c r="EC7" i="1"/>
  <c r="EB7" i="1"/>
  <c r="EA7" i="1"/>
  <c r="DZ7" i="1"/>
  <c r="DY7" i="1"/>
  <c r="DX7" i="1"/>
  <c r="DW7" i="1"/>
  <c r="DV7" i="1"/>
  <c r="DU7" i="1"/>
  <c r="DT7" i="1"/>
  <c r="EC6" i="1"/>
  <c r="EB6" i="1"/>
  <c r="EA6" i="1"/>
  <c r="DZ6" i="1"/>
  <c r="DY6" i="1"/>
  <c r="DX6" i="1"/>
  <c r="DW6" i="1"/>
  <c r="DV6" i="1"/>
  <c r="DU6" i="1"/>
  <c r="DT6" i="1"/>
  <c r="EC5" i="1"/>
  <c r="EB5" i="1"/>
  <c r="EA5" i="1"/>
  <c r="DZ5" i="1"/>
  <c r="DY5" i="1"/>
  <c r="DX5" i="1"/>
  <c r="EC4" i="1"/>
  <c r="EB4" i="1"/>
  <c r="EA4" i="1"/>
  <c r="DZ4" i="1"/>
  <c r="DY4" i="1"/>
  <c r="DX4" i="1"/>
  <c r="DW4" i="1"/>
  <c r="DV4" i="1"/>
  <c r="DU4" i="1"/>
  <c r="DT4" i="1"/>
  <c r="EC3" i="1"/>
  <c r="EB3" i="1"/>
  <c r="EA3" i="1"/>
  <c r="DZ3" i="1"/>
  <c r="DY3" i="1"/>
  <c r="DX3" i="1"/>
  <c r="DW3" i="1"/>
  <c r="DV3" i="1"/>
  <c r="DU3" i="1"/>
  <c r="DT3" i="1"/>
  <c r="EC2" i="1"/>
  <c r="EB2" i="1"/>
  <c r="EA2" i="1"/>
  <c r="DZ2" i="1"/>
  <c r="DY2" i="1"/>
  <c r="DX2" i="1"/>
  <c r="DW2" i="1"/>
  <c r="DV2" i="1"/>
  <c r="DU2" i="1"/>
  <c r="DT2" i="1"/>
  <c r="EX297" i="1"/>
  <c r="EX296" i="1"/>
  <c r="EX295" i="1"/>
  <c r="EX294" i="1"/>
  <c r="EX293" i="1"/>
  <c r="EX292" i="1"/>
  <c r="EX291" i="1"/>
  <c r="EX290" i="1"/>
  <c r="EX289" i="1"/>
  <c r="EX288" i="1"/>
  <c r="EX287" i="1"/>
  <c r="EX286" i="1"/>
  <c r="EX285" i="1"/>
  <c r="EX284" i="1"/>
  <c r="EX283" i="1"/>
  <c r="EX282" i="1"/>
  <c r="EX281" i="1"/>
  <c r="EX280" i="1"/>
  <c r="EX279" i="1"/>
  <c r="EX278" i="1"/>
  <c r="EX277" i="1"/>
  <c r="EX276" i="1"/>
  <c r="EX275" i="1"/>
  <c r="EX274" i="1"/>
  <c r="EX273" i="1"/>
  <c r="EX272" i="1"/>
  <c r="EX271" i="1"/>
  <c r="EX270" i="1"/>
  <c r="EX269" i="1"/>
  <c r="EX268" i="1"/>
  <c r="EX267" i="1"/>
  <c r="EX266" i="1"/>
  <c r="EX265" i="1"/>
  <c r="EX264" i="1"/>
  <c r="EX263" i="1"/>
  <c r="EX262" i="1"/>
  <c r="EX261" i="1"/>
  <c r="EX260" i="1"/>
  <c r="EX259" i="1"/>
  <c r="EX258" i="1"/>
  <c r="EX257" i="1"/>
  <c r="EX256" i="1"/>
  <c r="EX255" i="1"/>
  <c r="EX254" i="1"/>
  <c r="EX253" i="1"/>
  <c r="EX252" i="1"/>
  <c r="EX251" i="1"/>
  <c r="EX250" i="1"/>
  <c r="EX249" i="1"/>
  <c r="EX248" i="1"/>
  <c r="EX247" i="1"/>
  <c r="EX246" i="1"/>
  <c r="EX245" i="1"/>
  <c r="EX244" i="1"/>
  <c r="EX243" i="1"/>
  <c r="EX242" i="1"/>
  <c r="EX241" i="1"/>
  <c r="EX240" i="1"/>
  <c r="EX239" i="1"/>
  <c r="EX238" i="1"/>
  <c r="EX237" i="1"/>
  <c r="EX236" i="1"/>
  <c r="EX235" i="1"/>
  <c r="Q28" i="13"/>
  <c r="Q27" i="13"/>
  <c r="Q26" i="13"/>
  <c r="Q25" i="13"/>
  <c r="Q24" i="13"/>
  <c r="Q23" i="13"/>
  <c r="Q22" i="13"/>
  <c r="J28" i="13"/>
  <c r="J27" i="13"/>
  <c r="J26" i="13"/>
  <c r="J25" i="13"/>
  <c r="J24" i="13"/>
  <c r="J23" i="13"/>
  <c r="J22" i="13"/>
  <c r="G28" i="13"/>
  <c r="G27" i="13"/>
  <c r="G26" i="13"/>
  <c r="G25" i="13"/>
  <c r="G24" i="13"/>
  <c r="G23" i="13"/>
  <c r="G22" i="13"/>
  <c r="E28" i="13"/>
  <c r="E27" i="13"/>
  <c r="E26" i="13"/>
  <c r="E25" i="13"/>
  <c r="E24" i="13"/>
  <c r="E23" i="13"/>
  <c r="E22" i="13"/>
  <c r="C28" i="13"/>
  <c r="C27" i="13"/>
  <c r="C26" i="13"/>
  <c r="C25" i="13"/>
  <c r="C24" i="13"/>
  <c r="C23" i="13"/>
  <c r="C22" i="13"/>
  <c r="U20" i="13"/>
  <c r="S20" i="13"/>
  <c r="N20" i="13"/>
  <c r="L20" i="13"/>
  <c r="G20" i="13"/>
  <c r="E20" i="13"/>
  <c r="T29" i="13"/>
  <c r="R29" i="13"/>
  <c r="M29" i="13"/>
  <c r="K29" i="13"/>
  <c r="G29" i="13"/>
  <c r="F29" i="13"/>
  <c r="E29" i="13"/>
  <c r="D29" i="13"/>
  <c r="C29" i="13"/>
  <c r="S28" i="13"/>
  <c r="U28" i="13" s="1"/>
  <c r="S27" i="13"/>
  <c r="U27" i="13" s="1"/>
  <c r="S26" i="13"/>
  <c r="U26" i="13" s="1"/>
  <c r="S25" i="13"/>
  <c r="U25" i="13" s="1"/>
  <c r="S24" i="13"/>
  <c r="U24" i="13" s="1"/>
  <c r="S23" i="13"/>
  <c r="U23" i="13" s="1"/>
  <c r="J29" i="13"/>
  <c r="S13" i="13"/>
  <c r="U13" i="13" s="1"/>
  <c r="S12" i="13"/>
  <c r="U12" i="13" s="1"/>
  <c r="S11" i="13"/>
  <c r="U11" i="13" s="1"/>
  <c r="S10" i="13"/>
  <c r="U10" i="13" s="1"/>
  <c r="S9" i="13"/>
  <c r="U9" i="13" s="1"/>
  <c r="S8" i="13"/>
  <c r="U8" i="13" s="1"/>
  <c r="S7" i="13"/>
  <c r="U7" i="13" s="1"/>
  <c r="Q13" i="13"/>
  <c r="Q12" i="13"/>
  <c r="Q11" i="13"/>
  <c r="Q10" i="13"/>
  <c r="Q9" i="13"/>
  <c r="Q8" i="13"/>
  <c r="Q7" i="13"/>
  <c r="L13" i="13"/>
  <c r="N13" i="13" s="1"/>
  <c r="L12" i="13"/>
  <c r="N12" i="13" s="1"/>
  <c r="L11" i="13"/>
  <c r="N11" i="13" s="1"/>
  <c r="L10" i="13"/>
  <c r="N10" i="13" s="1"/>
  <c r="L9" i="13"/>
  <c r="N9" i="13" s="1"/>
  <c r="L8" i="13"/>
  <c r="N8" i="13" s="1"/>
  <c r="N14" i="13" s="1"/>
  <c r="N7" i="13"/>
  <c r="L7" i="13"/>
  <c r="J13" i="13"/>
  <c r="J12" i="13"/>
  <c r="J11" i="13"/>
  <c r="J10" i="13"/>
  <c r="J9" i="13"/>
  <c r="J8" i="13"/>
  <c r="J7" i="13"/>
  <c r="T14" i="13"/>
  <c r="S14" i="13"/>
  <c r="R14" i="13"/>
  <c r="Q14" i="13"/>
  <c r="U5" i="13"/>
  <c r="S5" i="13"/>
  <c r="M14" i="13"/>
  <c r="L14" i="13"/>
  <c r="K14" i="13"/>
  <c r="J14" i="13"/>
  <c r="G5" i="13"/>
  <c r="C5" i="13"/>
  <c r="E5" i="13"/>
  <c r="G14" i="13"/>
  <c r="F14" i="13"/>
  <c r="E14" i="13"/>
  <c r="D14" i="13"/>
  <c r="C14" i="13"/>
  <c r="CH234" i="1"/>
  <c r="CG234" i="1"/>
  <c r="CH233" i="1"/>
  <c r="CG233" i="1"/>
  <c r="CH232" i="1"/>
  <c r="CG232" i="1"/>
  <c r="CH231" i="1"/>
  <c r="CG231" i="1"/>
  <c r="CH230" i="1"/>
  <c r="CG230" i="1"/>
  <c r="CH229" i="1"/>
  <c r="CG229" i="1"/>
  <c r="CH228" i="1"/>
  <c r="CG228" i="1"/>
  <c r="CH227" i="1"/>
  <c r="CG227" i="1"/>
  <c r="CH226" i="1"/>
  <c r="CG226" i="1"/>
  <c r="CH225" i="1"/>
  <c r="CG225" i="1"/>
  <c r="CH224" i="1"/>
  <c r="CG224" i="1"/>
  <c r="CH223" i="1"/>
  <c r="CG223" i="1"/>
  <c r="CH222" i="1"/>
  <c r="CG222" i="1"/>
  <c r="CH221" i="1"/>
  <c r="CG221" i="1"/>
  <c r="CH220" i="1"/>
  <c r="CG220" i="1"/>
  <c r="CH219" i="1"/>
  <c r="CG219" i="1"/>
  <c r="CH218" i="1"/>
  <c r="CG218" i="1"/>
  <c r="CH217" i="1"/>
  <c r="CG217" i="1"/>
  <c r="CH216" i="1"/>
  <c r="CG216" i="1"/>
  <c r="CH215" i="1"/>
  <c r="CG215" i="1"/>
  <c r="CH214" i="1"/>
  <c r="CG214" i="1"/>
  <c r="CH213" i="1"/>
  <c r="CG213" i="1"/>
  <c r="CH212" i="1"/>
  <c r="CG212" i="1"/>
  <c r="CH211" i="1"/>
  <c r="CG211" i="1"/>
  <c r="CH210" i="1"/>
  <c r="CG210" i="1"/>
  <c r="CH209" i="1"/>
  <c r="CG209" i="1"/>
  <c r="CH208" i="1"/>
  <c r="CG208" i="1"/>
  <c r="CH207" i="1"/>
  <c r="CG207" i="1"/>
  <c r="CH206" i="1"/>
  <c r="CG206" i="1"/>
  <c r="CH205" i="1"/>
  <c r="CG205" i="1"/>
  <c r="CH204" i="1"/>
  <c r="CG204" i="1"/>
  <c r="CH203" i="1"/>
  <c r="CG203" i="1"/>
  <c r="CH202" i="1"/>
  <c r="CG202" i="1"/>
  <c r="CH201" i="1"/>
  <c r="CG201" i="1"/>
  <c r="CH200" i="1"/>
  <c r="CG200" i="1"/>
  <c r="CH199" i="1"/>
  <c r="CG199" i="1"/>
  <c r="CH198" i="1"/>
  <c r="CG198" i="1"/>
  <c r="CH197" i="1"/>
  <c r="CG197" i="1"/>
  <c r="CH196" i="1"/>
  <c r="CG196" i="1"/>
  <c r="CH195" i="1"/>
  <c r="CG195" i="1"/>
  <c r="CH194" i="1"/>
  <c r="CG194" i="1"/>
  <c r="CH193" i="1"/>
  <c r="CG193" i="1"/>
  <c r="CH192" i="1"/>
  <c r="CG192" i="1"/>
  <c r="CH191" i="1"/>
  <c r="CG191" i="1"/>
  <c r="CH190" i="1"/>
  <c r="CG190" i="1"/>
  <c r="CH189" i="1"/>
  <c r="CG189" i="1"/>
  <c r="CH188" i="1"/>
  <c r="CG188" i="1"/>
  <c r="CH187" i="1"/>
  <c r="CG187" i="1"/>
  <c r="CH186" i="1"/>
  <c r="CG186" i="1"/>
  <c r="CH185" i="1"/>
  <c r="CG185" i="1"/>
  <c r="CH184" i="1"/>
  <c r="CG184" i="1"/>
  <c r="CH183" i="1"/>
  <c r="CG183" i="1"/>
  <c r="CH182" i="1"/>
  <c r="CG182" i="1"/>
  <c r="CH181" i="1"/>
  <c r="CG181" i="1"/>
  <c r="CH180" i="1"/>
  <c r="CG180" i="1"/>
  <c r="CH179" i="1"/>
  <c r="CG179" i="1"/>
  <c r="CH178" i="1"/>
  <c r="CG178" i="1"/>
  <c r="CH177" i="1"/>
  <c r="CG177" i="1"/>
  <c r="CH176" i="1"/>
  <c r="CG176" i="1"/>
  <c r="CH175" i="1"/>
  <c r="CG175" i="1"/>
  <c r="CH174" i="1"/>
  <c r="CG174" i="1"/>
  <c r="CH173" i="1"/>
  <c r="CG173" i="1"/>
  <c r="CH172" i="1"/>
  <c r="CG172" i="1"/>
  <c r="CH171" i="1"/>
  <c r="CG171" i="1"/>
  <c r="CH170" i="1"/>
  <c r="CG170" i="1"/>
  <c r="CH169" i="1"/>
  <c r="CG169" i="1"/>
  <c r="CH168" i="1"/>
  <c r="CG168" i="1"/>
  <c r="CH167" i="1"/>
  <c r="CG167" i="1"/>
  <c r="CH166" i="1"/>
  <c r="CG166" i="1"/>
  <c r="CH165" i="1"/>
  <c r="CG165" i="1"/>
  <c r="CH164" i="1"/>
  <c r="CG164" i="1"/>
  <c r="CH163" i="1"/>
  <c r="CG163" i="1"/>
  <c r="CH162" i="1"/>
  <c r="CG162" i="1"/>
  <c r="CH161" i="1"/>
  <c r="CG161" i="1"/>
  <c r="CH160" i="1"/>
  <c r="CG160" i="1"/>
  <c r="CH159" i="1"/>
  <c r="CG159" i="1"/>
  <c r="CH158" i="1"/>
  <c r="CG158" i="1"/>
  <c r="CH157" i="1"/>
  <c r="CG157" i="1"/>
  <c r="CH156" i="1"/>
  <c r="CG156" i="1"/>
  <c r="CH155" i="1"/>
  <c r="CG155" i="1"/>
  <c r="CH154" i="1"/>
  <c r="CG154" i="1"/>
  <c r="CH153" i="1"/>
  <c r="CG153" i="1"/>
  <c r="CH152" i="1"/>
  <c r="CG152" i="1"/>
  <c r="CH151" i="1"/>
  <c r="CG151" i="1"/>
  <c r="CH150" i="1"/>
  <c r="CG150" i="1"/>
  <c r="CH149" i="1"/>
  <c r="CG149" i="1"/>
  <c r="CH148" i="1"/>
  <c r="CG148" i="1"/>
  <c r="CH147" i="1"/>
  <c r="CG147" i="1"/>
  <c r="CH146" i="1"/>
  <c r="CG146" i="1"/>
  <c r="CH145" i="1"/>
  <c r="CG145" i="1"/>
  <c r="CH144" i="1"/>
  <c r="CG144" i="1"/>
  <c r="CH143" i="1"/>
  <c r="CG143" i="1"/>
  <c r="CH142" i="1"/>
  <c r="CG142" i="1"/>
  <c r="CH141" i="1"/>
  <c r="CG141" i="1"/>
  <c r="CG140" i="1"/>
  <c r="CG139" i="1"/>
  <c r="CH138" i="1"/>
  <c r="CG138" i="1"/>
  <c r="CH137" i="1"/>
  <c r="CG137" i="1"/>
  <c r="CH136" i="1"/>
  <c r="CG136" i="1"/>
  <c r="CH135" i="1"/>
  <c r="CG135" i="1"/>
  <c r="CH134" i="1"/>
  <c r="CG134" i="1"/>
  <c r="CH133" i="1"/>
  <c r="CG133" i="1"/>
  <c r="CH132" i="1"/>
  <c r="CG132" i="1"/>
  <c r="CH131" i="1"/>
  <c r="CG131" i="1"/>
  <c r="CH130" i="1"/>
  <c r="CG130" i="1"/>
  <c r="CH129" i="1"/>
  <c r="CG129" i="1"/>
  <c r="CH128" i="1"/>
  <c r="CG128" i="1"/>
  <c r="CH127" i="1"/>
  <c r="CG127" i="1"/>
  <c r="CH126" i="1"/>
  <c r="CG126" i="1"/>
  <c r="CH125" i="1"/>
  <c r="CG125" i="1"/>
  <c r="CH124" i="1"/>
  <c r="CG124" i="1"/>
  <c r="CH123" i="1"/>
  <c r="CG123" i="1"/>
  <c r="CH122" i="1"/>
  <c r="CG122" i="1"/>
  <c r="CH121" i="1"/>
  <c r="CG121" i="1"/>
  <c r="CH120" i="1"/>
  <c r="CG120" i="1"/>
  <c r="CH119" i="1"/>
  <c r="CG119" i="1"/>
  <c r="CH118" i="1"/>
  <c r="CG118" i="1"/>
  <c r="CH117" i="1"/>
  <c r="CG117" i="1"/>
  <c r="CH116" i="1"/>
  <c r="CG116" i="1"/>
  <c r="CH115" i="1"/>
  <c r="CG115" i="1"/>
  <c r="CH114" i="1"/>
  <c r="CG114" i="1"/>
  <c r="CH113" i="1"/>
  <c r="CG113" i="1"/>
  <c r="CH112" i="1"/>
  <c r="CG112" i="1"/>
  <c r="CH111" i="1"/>
  <c r="CG111" i="1"/>
  <c r="CH110" i="1"/>
  <c r="CG110" i="1"/>
  <c r="CH109" i="1"/>
  <c r="CG109" i="1"/>
  <c r="CH108" i="1"/>
  <c r="CG108" i="1"/>
  <c r="CH107" i="1"/>
  <c r="CG107" i="1"/>
  <c r="CH106" i="1"/>
  <c r="CG106" i="1"/>
  <c r="CH105" i="1"/>
  <c r="CG105" i="1"/>
  <c r="CH104" i="1"/>
  <c r="CG104" i="1"/>
  <c r="CH103" i="1"/>
  <c r="CG103" i="1"/>
  <c r="CH102" i="1"/>
  <c r="CG102" i="1"/>
  <c r="CH101" i="1"/>
  <c r="CG101" i="1"/>
  <c r="CH100" i="1"/>
  <c r="CG100" i="1"/>
  <c r="CH99" i="1"/>
  <c r="CG99" i="1"/>
  <c r="CH98" i="1"/>
  <c r="CG98" i="1"/>
  <c r="CH97" i="1"/>
  <c r="CG97" i="1"/>
  <c r="CH96" i="1"/>
  <c r="CG96" i="1"/>
  <c r="CH95" i="1"/>
  <c r="CG95" i="1"/>
  <c r="CH94" i="1"/>
  <c r="CG94" i="1"/>
  <c r="CH93" i="1"/>
  <c r="CG93" i="1"/>
  <c r="CH92" i="1"/>
  <c r="CG92" i="1"/>
  <c r="CH91" i="1"/>
  <c r="CG91" i="1"/>
  <c r="CH90" i="1"/>
  <c r="CG90" i="1"/>
  <c r="CH89" i="1"/>
  <c r="CG89" i="1"/>
  <c r="CH88" i="1"/>
  <c r="CG88" i="1"/>
  <c r="CH87" i="1"/>
  <c r="CG87" i="1"/>
  <c r="CH86" i="1"/>
  <c r="CG86" i="1"/>
  <c r="CH85" i="1"/>
  <c r="CG85" i="1"/>
  <c r="CH84" i="1"/>
  <c r="CG84" i="1"/>
  <c r="CH83" i="1"/>
  <c r="CG83" i="1"/>
  <c r="CH82" i="1"/>
  <c r="CG82" i="1"/>
  <c r="CH81" i="1"/>
  <c r="CG81" i="1"/>
  <c r="CH80" i="1"/>
  <c r="CG80" i="1"/>
  <c r="CH79" i="1"/>
  <c r="CG79" i="1"/>
  <c r="CH78" i="1"/>
  <c r="CG78" i="1"/>
  <c r="CH77" i="1"/>
  <c r="CG77" i="1"/>
  <c r="CH76" i="1"/>
  <c r="CG76" i="1"/>
  <c r="CH75" i="1"/>
  <c r="CG75" i="1"/>
  <c r="CH74" i="1"/>
  <c r="CG74" i="1"/>
  <c r="CH73" i="1"/>
  <c r="CG73" i="1"/>
  <c r="CH72" i="1"/>
  <c r="CG72" i="1"/>
  <c r="CH71" i="1"/>
  <c r="CG71" i="1"/>
  <c r="CH70" i="1"/>
  <c r="CG70" i="1"/>
  <c r="CH69" i="1"/>
  <c r="CG69" i="1"/>
  <c r="CH68" i="1"/>
  <c r="CG68" i="1"/>
  <c r="CH67" i="1"/>
  <c r="CG67" i="1"/>
  <c r="CH66" i="1"/>
  <c r="CG66" i="1"/>
  <c r="CH65" i="1"/>
  <c r="CG65" i="1"/>
  <c r="CH64" i="1"/>
  <c r="CG64" i="1"/>
  <c r="CH63" i="1"/>
  <c r="CG63" i="1"/>
  <c r="CH62" i="1"/>
  <c r="CG62" i="1"/>
  <c r="CH61" i="1"/>
  <c r="CG61" i="1"/>
  <c r="CH60" i="1"/>
  <c r="CG60" i="1"/>
  <c r="CH59" i="1"/>
  <c r="CG59" i="1"/>
  <c r="CH58" i="1"/>
  <c r="CG58" i="1"/>
  <c r="CH57" i="1"/>
  <c r="CG57" i="1"/>
  <c r="CH56" i="1"/>
  <c r="CG56" i="1"/>
  <c r="CH55" i="1"/>
  <c r="CG55" i="1"/>
  <c r="CH54" i="1"/>
  <c r="CG54" i="1"/>
  <c r="CH53" i="1"/>
  <c r="CG53" i="1"/>
  <c r="CH52" i="1"/>
  <c r="CG52" i="1"/>
  <c r="CH51" i="1"/>
  <c r="CG51" i="1"/>
  <c r="CH50" i="1"/>
  <c r="CG50" i="1"/>
  <c r="CH49" i="1"/>
  <c r="CG49" i="1"/>
  <c r="CH48" i="1"/>
  <c r="CG48" i="1"/>
  <c r="CH47" i="1"/>
  <c r="CG47" i="1"/>
  <c r="CH46" i="1"/>
  <c r="CG46" i="1"/>
  <c r="CH45" i="1"/>
  <c r="CG45" i="1"/>
  <c r="CH44" i="1"/>
  <c r="CG44" i="1"/>
  <c r="CH43" i="1"/>
  <c r="CG43" i="1"/>
  <c r="CH42" i="1"/>
  <c r="CG42" i="1"/>
  <c r="CH41" i="1"/>
  <c r="CG41" i="1"/>
  <c r="CH40" i="1"/>
  <c r="CG40" i="1"/>
  <c r="CH39" i="1"/>
  <c r="CG39" i="1"/>
  <c r="CH38" i="1"/>
  <c r="CG38" i="1"/>
  <c r="CH37" i="1"/>
  <c r="CG37" i="1"/>
  <c r="CH36" i="1"/>
  <c r="CG36" i="1"/>
  <c r="CH35" i="1"/>
  <c r="CG35" i="1"/>
  <c r="CH34" i="1"/>
  <c r="CG34" i="1"/>
  <c r="CH33" i="1"/>
  <c r="CG33" i="1"/>
  <c r="CH32" i="1"/>
  <c r="CG32" i="1"/>
  <c r="CH31" i="1"/>
  <c r="CG31" i="1"/>
  <c r="CH30" i="1"/>
  <c r="CG30" i="1"/>
  <c r="CH29" i="1"/>
  <c r="CG29" i="1"/>
  <c r="CH28" i="1"/>
  <c r="CG28" i="1"/>
  <c r="CH27" i="1"/>
  <c r="CG27" i="1"/>
  <c r="CH26" i="1"/>
  <c r="CG26" i="1"/>
  <c r="CH25" i="1"/>
  <c r="CG25" i="1"/>
  <c r="CH24" i="1"/>
  <c r="CG24" i="1"/>
  <c r="CH23" i="1"/>
  <c r="CG23" i="1"/>
  <c r="CH22" i="1"/>
  <c r="CG22" i="1"/>
  <c r="CH21" i="1"/>
  <c r="CG21" i="1"/>
  <c r="CH20" i="1"/>
  <c r="CG20" i="1"/>
  <c r="CH19" i="1"/>
  <c r="CG19" i="1"/>
  <c r="CH18" i="1"/>
  <c r="CG18" i="1"/>
  <c r="CH17" i="1"/>
  <c r="CG17" i="1"/>
  <c r="CH16" i="1"/>
  <c r="CG16" i="1"/>
  <c r="CH15" i="1"/>
  <c r="CG15" i="1"/>
  <c r="CH14" i="1"/>
  <c r="CG14" i="1"/>
  <c r="CH13" i="1"/>
  <c r="CG13" i="1"/>
  <c r="CH12" i="1"/>
  <c r="CG12" i="1"/>
  <c r="CH11" i="1"/>
  <c r="CG11" i="1"/>
  <c r="CH10" i="1"/>
  <c r="CG10" i="1"/>
  <c r="CH9" i="1"/>
  <c r="CG9" i="1"/>
  <c r="CH8" i="1"/>
  <c r="CG8" i="1"/>
  <c r="CH7" i="1"/>
  <c r="CG7" i="1"/>
  <c r="CG6" i="1"/>
  <c r="CH5" i="1"/>
  <c r="CG5" i="1"/>
  <c r="CH4" i="1"/>
  <c r="CG4" i="1"/>
  <c r="CH3" i="1"/>
  <c r="CG3" i="1"/>
  <c r="CH2" i="1"/>
  <c r="CG2" i="1"/>
  <c r="CE297" i="1"/>
  <c r="CD297" i="1"/>
  <c r="CC297" i="1"/>
  <c r="CB297" i="1"/>
  <c r="CA297" i="1"/>
  <c r="BZ297" i="1"/>
  <c r="CE296" i="1"/>
  <c r="CD296" i="1"/>
  <c r="CC296" i="1"/>
  <c r="CB296" i="1"/>
  <c r="CA296" i="1"/>
  <c r="BZ296" i="1"/>
  <c r="CE295" i="1"/>
  <c r="CD295" i="1"/>
  <c r="CC295" i="1"/>
  <c r="CB295" i="1"/>
  <c r="CA295" i="1"/>
  <c r="BZ295" i="1"/>
  <c r="CE294" i="1"/>
  <c r="CD294" i="1"/>
  <c r="CC294" i="1"/>
  <c r="CB294" i="1"/>
  <c r="CA294" i="1"/>
  <c r="BZ294" i="1"/>
  <c r="CE293" i="1"/>
  <c r="CD293" i="1"/>
  <c r="CC293" i="1"/>
  <c r="CB293" i="1"/>
  <c r="CA293" i="1"/>
  <c r="BZ293" i="1"/>
  <c r="CE292" i="1"/>
  <c r="CD292" i="1"/>
  <c r="CC292" i="1"/>
  <c r="CB292" i="1"/>
  <c r="CA292" i="1"/>
  <c r="BZ292" i="1"/>
  <c r="CE291" i="1"/>
  <c r="CD291" i="1"/>
  <c r="CC291" i="1"/>
  <c r="CB291" i="1"/>
  <c r="CA291" i="1"/>
  <c r="BZ291" i="1"/>
  <c r="CE290" i="1"/>
  <c r="CD290" i="1"/>
  <c r="CC290" i="1"/>
  <c r="CB290" i="1"/>
  <c r="CA290" i="1"/>
  <c r="BZ290" i="1"/>
  <c r="CE289" i="1"/>
  <c r="CD289" i="1"/>
  <c r="CC289" i="1"/>
  <c r="CB289" i="1"/>
  <c r="CA289" i="1"/>
  <c r="BZ289" i="1"/>
  <c r="CE288" i="1"/>
  <c r="CD288" i="1"/>
  <c r="CC288" i="1"/>
  <c r="CB288" i="1"/>
  <c r="CA288" i="1"/>
  <c r="BZ288" i="1"/>
  <c r="CE287" i="1"/>
  <c r="CD287" i="1"/>
  <c r="CC287" i="1"/>
  <c r="CB287" i="1"/>
  <c r="CA287" i="1"/>
  <c r="BZ287" i="1"/>
  <c r="CE286" i="1"/>
  <c r="CD286" i="1"/>
  <c r="CC286" i="1"/>
  <c r="CB286" i="1"/>
  <c r="CA286" i="1"/>
  <c r="BZ286" i="1"/>
  <c r="CE285" i="1"/>
  <c r="CD285" i="1"/>
  <c r="CC285" i="1"/>
  <c r="CB285" i="1"/>
  <c r="CA285" i="1"/>
  <c r="BZ285" i="1"/>
  <c r="CE284" i="1"/>
  <c r="CD284" i="1"/>
  <c r="CC284" i="1"/>
  <c r="CB284" i="1"/>
  <c r="CA284" i="1"/>
  <c r="BZ284" i="1"/>
  <c r="CE283" i="1"/>
  <c r="CD283" i="1"/>
  <c r="CC283" i="1"/>
  <c r="CB283" i="1"/>
  <c r="CA283" i="1"/>
  <c r="BZ283" i="1"/>
  <c r="CE282" i="1"/>
  <c r="CD282" i="1"/>
  <c r="CC282" i="1"/>
  <c r="CB282" i="1"/>
  <c r="CA282" i="1"/>
  <c r="BZ282" i="1"/>
  <c r="CE281" i="1"/>
  <c r="CD281" i="1"/>
  <c r="CC281" i="1"/>
  <c r="CB281" i="1"/>
  <c r="CA281" i="1"/>
  <c r="BZ281" i="1"/>
  <c r="CE280" i="1"/>
  <c r="CD280" i="1"/>
  <c r="CC280" i="1"/>
  <c r="CB280" i="1"/>
  <c r="CA280" i="1"/>
  <c r="BZ280" i="1"/>
  <c r="CE279" i="1"/>
  <c r="CD279" i="1"/>
  <c r="CC279" i="1"/>
  <c r="CB279" i="1"/>
  <c r="CA279" i="1"/>
  <c r="BZ279" i="1"/>
  <c r="CE278" i="1"/>
  <c r="CD278" i="1"/>
  <c r="CC278" i="1"/>
  <c r="CB278" i="1"/>
  <c r="CA278" i="1"/>
  <c r="BZ278" i="1"/>
  <c r="CE277" i="1"/>
  <c r="CD277" i="1"/>
  <c r="CC277" i="1"/>
  <c r="CB277" i="1"/>
  <c r="CA277" i="1"/>
  <c r="BZ277" i="1"/>
  <c r="CE276" i="1"/>
  <c r="CD276" i="1"/>
  <c r="CC276" i="1"/>
  <c r="CB276" i="1"/>
  <c r="CA276" i="1"/>
  <c r="BZ276" i="1"/>
  <c r="CE275" i="1"/>
  <c r="CD275" i="1"/>
  <c r="CC275" i="1"/>
  <c r="CB275" i="1"/>
  <c r="CA275" i="1"/>
  <c r="BZ275" i="1"/>
  <c r="CE274" i="1"/>
  <c r="CD274" i="1"/>
  <c r="CC274" i="1"/>
  <c r="CB274" i="1"/>
  <c r="CA274" i="1"/>
  <c r="BZ274" i="1"/>
  <c r="CE273" i="1"/>
  <c r="CD273" i="1"/>
  <c r="CC273" i="1"/>
  <c r="CB273" i="1"/>
  <c r="CA273" i="1"/>
  <c r="BZ273" i="1"/>
  <c r="CE272" i="1"/>
  <c r="CD272" i="1"/>
  <c r="CC272" i="1"/>
  <c r="CB272" i="1"/>
  <c r="CA272" i="1"/>
  <c r="BZ272" i="1"/>
  <c r="CE271" i="1"/>
  <c r="CD271" i="1"/>
  <c r="CC271" i="1"/>
  <c r="CB271" i="1"/>
  <c r="CA271" i="1"/>
  <c r="BZ271" i="1"/>
  <c r="CE270" i="1"/>
  <c r="CD270" i="1"/>
  <c r="CC270" i="1"/>
  <c r="CB270" i="1"/>
  <c r="CA270" i="1"/>
  <c r="BZ270" i="1"/>
  <c r="CE269" i="1"/>
  <c r="CD269" i="1"/>
  <c r="CC269" i="1"/>
  <c r="CB269" i="1"/>
  <c r="CA269" i="1"/>
  <c r="BZ269" i="1"/>
  <c r="CE268" i="1"/>
  <c r="CD268" i="1"/>
  <c r="CC268" i="1"/>
  <c r="CB268" i="1"/>
  <c r="CA268" i="1"/>
  <c r="BZ268" i="1"/>
  <c r="CE267" i="1"/>
  <c r="CD267" i="1"/>
  <c r="CC267" i="1"/>
  <c r="CB267" i="1"/>
  <c r="CA267" i="1"/>
  <c r="BZ267" i="1"/>
  <c r="CE266" i="1"/>
  <c r="CD266" i="1"/>
  <c r="CC266" i="1"/>
  <c r="CB266" i="1"/>
  <c r="CA266" i="1"/>
  <c r="BZ266" i="1"/>
  <c r="CE265" i="1"/>
  <c r="CD265" i="1"/>
  <c r="CC265" i="1"/>
  <c r="CB265" i="1"/>
  <c r="CA265" i="1"/>
  <c r="BZ265" i="1"/>
  <c r="CE264" i="1"/>
  <c r="CD264" i="1"/>
  <c r="CC264" i="1"/>
  <c r="CB264" i="1"/>
  <c r="CA264" i="1"/>
  <c r="BZ264" i="1"/>
  <c r="CE263" i="1"/>
  <c r="CD263" i="1"/>
  <c r="CC263" i="1"/>
  <c r="CB263" i="1"/>
  <c r="CA263" i="1"/>
  <c r="BZ263" i="1"/>
  <c r="CE262" i="1"/>
  <c r="CD262" i="1"/>
  <c r="CC262" i="1"/>
  <c r="CB262" i="1"/>
  <c r="CA262" i="1"/>
  <c r="BZ262" i="1"/>
  <c r="CE261" i="1"/>
  <c r="CD261" i="1"/>
  <c r="CC261" i="1"/>
  <c r="CB261" i="1"/>
  <c r="CA261" i="1"/>
  <c r="BZ261" i="1"/>
  <c r="CE260" i="1"/>
  <c r="CD260" i="1"/>
  <c r="CC260" i="1"/>
  <c r="CB260" i="1"/>
  <c r="CA260" i="1"/>
  <c r="BZ260" i="1"/>
  <c r="CE259" i="1"/>
  <c r="CD259" i="1"/>
  <c r="CC259" i="1"/>
  <c r="CB259" i="1"/>
  <c r="CA259" i="1"/>
  <c r="BZ259" i="1"/>
  <c r="CE258" i="1"/>
  <c r="CD258" i="1"/>
  <c r="CC258" i="1"/>
  <c r="CB258" i="1"/>
  <c r="CA258" i="1"/>
  <c r="BZ258" i="1"/>
  <c r="CE257" i="1"/>
  <c r="CD257" i="1"/>
  <c r="CC257" i="1"/>
  <c r="CB257" i="1"/>
  <c r="CA257" i="1"/>
  <c r="BZ257" i="1"/>
  <c r="CE256" i="1"/>
  <c r="CD256" i="1"/>
  <c r="CC256" i="1"/>
  <c r="CB256" i="1"/>
  <c r="CA256" i="1"/>
  <c r="BZ256" i="1"/>
  <c r="CE255" i="1"/>
  <c r="CD255" i="1"/>
  <c r="CC255" i="1"/>
  <c r="CB255" i="1"/>
  <c r="CA255" i="1"/>
  <c r="BZ255" i="1"/>
  <c r="CE254" i="1"/>
  <c r="CD254" i="1"/>
  <c r="CC254" i="1"/>
  <c r="CB254" i="1"/>
  <c r="CA254" i="1"/>
  <c r="BZ254" i="1"/>
  <c r="CE253" i="1"/>
  <c r="CD253" i="1"/>
  <c r="CC253" i="1"/>
  <c r="CB253" i="1"/>
  <c r="CA253" i="1"/>
  <c r="BZ253" i="1"/>
  <c r="CE252" i="1"/>
  <c r="CD252" i="1"/>
  <c r="CC252" i="1"/>
  <c r="CB252" i="1"/>
  <c r="CA252" i="1"/>
  <c r="BZ252" i="1"/>
  <c r="CE251" i="1"/>
  <c r="CD251" i="1"/>
  <c r="CC251" i="1"/>
  <c r="CB251" i="1"/>
  <c r="CA251" i="1"/>
  <c r="BZ251" i="1"/>
  <c r="CE250" i="1"/>
  <c r="CD250" i="1"/>
  <c r="CC250" i="1"/>
  <c r="CB250" i="1"/>
  <c r="CA250" i="1"/>
  <c r="BZ250" i="1"/>
  <c r="CE249" i="1"/>
  <c r="CD249" i="1"/>
  <c r="CC249" i="1"/>
  <c r="CB249" i="1"/>
  <c r="CA249" i="1"/>
  <c r="BZ249" i="1"/>
  <c r="CE248" i="1"/>
  <c r="CD248" i="1"/>
  <c r="CC248" i="1"/>
  <c r="CB248" i="1"/>
  <c r="CA248" i="1"/>
  <c r="BZ248" i="1"/>
  <c r="CE247" i="1"/>
  <c r="CD247" i="1"/>
  <c r="CC247" i="1"/>
  <c r="CB247" i="1"/>
  <c r="CA247" i="1"/>
  <c r="BZ247" i="1"/>
  <c r="CE246" i="1"/>
  <c r="CD246" i="1"/>
  <c r="CC246" i="1"/>
  <c r="CB246" i="1"/>
  <c r="CA246" i="1"/>
  <c r="BZ246" i="1"/>
  <c r="CE245" i="1"/>
  <c r="CD245" i="1"/>
  <c r="CC245" i="1"/>
  <c r="CB245" i="1"/>
  <c r="CA245" i="1"/>
  <c r="BZ245" i="1"/>
  <c r="CE244" i="1"/>
  <c r="CD244" i="1"/>
  <c r="CC244" i="1"/>
  <c r="CB244" i="1"/>
  <c r="CA244" i="1"/>
  <c r="BZ244" i="1"/>
  <c r="CE243" i="1"/>
  <c r="CD243" i="1"/>
  <c r="CC243" i="1"/>
  <c r="CB243" i="1"/>
  <c r="CA243" i="1"/>
  <c r="BZ243" i="1"/>
  <c r="CE242" i="1"/>
  <c r="CD242" i="1"/>
  <c r="CC242" i="1"/>
  <c r="CB242" i="1"/>
  <c r="CA242" i="1"/>
  <c r="BZ242" i="1"/>
  <c r="CE241" i="1"/>
  <c r="CD241" i="1"/>
  <c r="CC241" i="1"/>
  <c r="CB241" i="1"/>
  <c r="CA241" i="1"/>
  <c r="BZ241" i="1"/>
  <c r="CE240" i="1"/>
  <c r="CD240" i="1"/>
  <c r="CC240" i="1"/>
  <c r="CB240" i="1"/>
  <c r="CA240" i="1"/>
  <c r="BZ240" i="1"/>
  <c r="CE239" i="1"/>
  <c r="CD239" i="1"/>
  <c r="CC239" i="1"/>
  <c r="CB239" i="1"/>
  <c r="CA239" i="1"/>
  <c r="BZ239" i="1"/>
  <c r="CE238" i="1"/>
  <c r="CD238" i="1"/>
  <c r="CC238" i="1"/>
  <c r="CB238" i="1"/>
  <c r="CA238" i="1"/>
  <c r="BZ238" i="1"/>
  <c r="CE237" i="1"/>
  <c r="CD237" i="1"/>
  <c r="CC237" i="1"/>
  <c r="CB237" i="1"/>
  <c r="CA237" i="1"/>
  <c r="BZ237" i="1"/>
  <c r="CE236" i="1"/>
  <c r="CD236" i="1"/>
  <c r="CC236" i="1"/>
  <c r="CB236" i="1"/>
  <c r="CA236" i="1"/>
  <c r="BZ236" i="1"/>
  <c r="CE235" i="1"/>
  <c r="CD235" i="1"/>
  <c r="CC235" i="1"/>
  <c r="CB235" i="1"/>
  <c r="CA235" i="1"/>
  <c r="BZ235" i="1"/>
  <c r="CE234" i="1"/>
  <c r="CD234" i="1"/>
  <c r="CC234" i="1"/>
  <c r="CB234" i="1"/>
  <c r="CA234" i="1"/>
  <c r="BZ234" i="1"/>
  <c r="CE233" i="1"/>
  <c r="CD233" i="1"/>
  <c r="CC233" i="1"/>
  <c r="CB233" i="1"/>
  <c r="CA233" i="1"/>
  <c r="BZ233" i="1"/>
  <c r="CE232" i="1"/>
  <c r="CD232" i="1"/>
  <c r="CC232" i="1"/>
  <c r="CB232" i="1"/>
  <c r="CA232" i="1"/>
  <c r="BZ232" i="1"/>
  <c r="CE231" i="1"/>
  <c r="CD231" i="1"/>
  <c r="CC231" i="1"/>
  <c r="CB231" i="1"/>
  <c r="CA231" i="1"/>
  <c r="BZ231" i="1"/>
  <c r="CE230" i="1"/>
  <c r="CD230" i="1"/>
  <c r="CC230" i="1"/>
  <c r="CB230" i="1"/>
  <c r="CA230" i="1"/>
  <c r="BZ230" i="1"/>
  <c r="CE229" i="1"/>
  <c r="CD229" i="1"/>
  <c r="CC229" i="1"/>
  <c r="CB229" i="1"/>
  <c r="CA229" i="1"/>
  <c r="BZ229" i="1"/>
  <c r="CE228" i="1"/>
  <c r="CD228" i="1"/>
  <c r="CC228" i="1"/>
  <c r="CB228" i="1"/>
  <c r="CA228" i="1"/>
  <c r="BZ228" i="1"/>
  <c r="CE227" i="1"/>
  <c r="CD227" i="1"/>
  <c r="CC227" i="1"/>
  <c r="CB227" i="1"/>
  <c r="CA227" i="1"/>
  <c r="BZ227" i="1"/>
  <c r="CE226" i="1"/>
  <c r="CD226" i="1"/>
  <c r="CC226" i="1"/>
  <c r="CB226" i="1"/>
  <c r="CA226" i="1"/>
  <c r="BZ226" i="1"/>
  <c r="CE225" i="1"/>
  <c r="CD225" i="1"/>
  <c r="CC225" i="1"/>
  <c r="CB225" i="1"/>
  <c r="CA225" i="1"/>
  <c r="BZ225" i="1"/>
  <c r="CE224" i="1"/>
  <c r="CD224" i="1"/>
  <c r="CC224" i="1"/>
  <c r="CB224" i="1"/>
  <c r="CA224" i="1"/>
  <c r="BZ224" i="1"/>
  <c r="CE223" i="1"/>
  <c r="CD223" i="1"/>
  <c r="CC223" i="1"/>
  <c r="CB223" i="1"/>
  <c r="CA223" i="1"/>
  <c r="BZ223" i="1"/>
  <c r="CE222" i="1"/>
  <c r="CD222" i="1"/>
  <c r="CC222" i="1"/>
  <c r="CB222" i="1"/>
  <c r="CA222" i="1"/>
  <c r="BZ222" i="1"/>
  <c r="CE221" i="1"/>
  <c r="CD221" i="1"/>
  <c r="CC221" i="1"/>
  <c r="CB221" i="1"/>
  <c r="CA221" i="1"/>
  <c r="BZ221" i="1"/>
  <c r="CE220" i="1"/>
  <c r="CD220" i="1"/>
  <c r="CC220" i="1"/>
  <c r="CB220" i="1"/>
  <c r="CA220" i="1"/>
  <c r="BZ220" i="1"/>
  <c r="CE219" i="1"/>
  <c r="CD219" i="1"/>
  <c r="CC219" i="1"/>
  <c r="CB219" i="1"/>
  <c r="CA219" i="1"/>
  <c r="BZ219" i="1"/>
  <c r="CE218" i="1"/>
  <c r="CD218" i="1"/>
  <c r="CC218" i="1"/>
  <c r="CB218" i="1"/>
  <c r="CA218" i="1"/>
  <c r="BZ218" i="1"/>
  <c r="CE217" i="1"/>
  <c r="CD217" i="1"/>
  <c r="CC217" i="1"/>
  <c r="CB217" i="1"/>
  <c r="CA217" i="1"/>
  <c r="BZ217" i="1"/>
  <c r="CE216" i="1"/>
  <c r="CD216" i="1"/>
  <c r="CC216" i="1"/>
  <c r="CB216" i="1"/>
  <c r="CA216" i="1"/>
  <c r="BZ216" i="1"/>
  <c r="CE215" i="1"/>
  <c r="CD215" i="1"/>
  <c r="CC215" i="1"/>
  <c r="CB215" i="1"/>
  <c r="CA215" i="1"/>
  <c r="BZ215" i="1"/>
  <c r="CE214" i="1"/>
  <c r="CD214" i="1"/>
  <c r="CC214" i="1"/>
  <c r="CB214" i="1"/>
  <c r="CA214" i="1"/>
  <c r="BZ214" i="1"/>
  <c r="CE213" i="1"/>
  <c r="CD213" i="1"/>
  <c r="CC213" i="1"/>
  <c r="CB213" i="1"/>
  <c r="CA213" i="1"/>
  <c r="BZ213" i="1"/>
  <c r="CE212" i="1"/>
  <c r="CD212" i="1"/>
  <c r="CC212" i="1"/>
  <c r="CB212" i="1"/>
  <c r="CA212" i="1"/>
  <c r="BZ212" i="1"/>
  <c r="CE211" i="1"/>
  <c r="CD211" i="1"/>
  <c r="CC211" i="1"/>
  <c r="CB211" i="1"/>
  <c r="CA211" i="1"/>
  <c r="BZ211" i="1"/>
  <c r="CE210" i="1"/>
  <c r="CD210" i="1"/>
  <c r="CC210" i="1"/>
  <c r="CB210" i="1"/>
  <c r="CA210" i="1"/>
  <c r="BZ210" i="1"/>
  <c r="CE209" i="1"/>
  <c r="CD209" i="1"/>
  <c r="CC209" i="1"/>
  <c r="CB209" i="1"/>
  <c r="CA209" i="1"/>
  <c r="BZ209" i="1"/>
  <c r="CE208" i="1"/>
  <c r="CD208" i="1"/>
  <c r="CC208" i="1"/>
  <c r="CB208" i="1"/>
  <c r="CA208" i="1"/>
  <c r="BZ208" i="1"/>
  <c r="CE207" i="1"/>
  <c r="CD207" i="1"/>
  <c r="CC207" i="1"/>
  <c r="CB207" i="1"/>
  <c r="CA207" i="1"/>
  <c r="BZ207" i="1"/>
  <c r="CE206" i="1"/>
  <c r="CD206" i="1"/>
  <c r="CC206" i="1"/>
  <c r="CB206" i="1"/>
  <c r="CA206" i="1"/>
  <c r="BZ206" i="1"/>
  <c r="CE205" i="1"/>
  <c r="CD205" i="1"/>
  <c r="CC205" i="1"/>
  <c r="CB205" i="1"/>
  <c r="CA205" i="1"/>
  <c r="BZ205" i="1"/>
  <c r="CE204" i="1"/>
  <c r="CD204" i="1"/>
  <c r="CC204" i="1"/>
  <c r="CB204" i="1"/>
  <c r="CA204" i="1"/>
  <c r="BZ204" i="1"/>
  <c r="CE203" i="1"/>
  <c r="CD203" i="1"/>
  <c r="CC203" i="1"/>
  <c r="CB203" i="1"/>
  <c r="CA203" i="1"/>
  <c r="BZ203" i="1"/>
  <c r="CE202" i="1"/>
  <c r="CD202" i="1"/>
  <c r="CC202" i="1"/>
  <c r="CB202" i="1"/>
  <c r="CA202" i="1"/>
  <c r="BZ202" i="1"/>
  <c r="CE201" i="1"/>
  <c r="CD201" i="1"/>
  <c r="CC201" i="1"/>
  <c r="CB201" i="1"/>
  <c r="CA201" i="1"/>
  <c r="BZ201" i="1"/>
  <c r="CE200" i="1"/>
  <c r="CD200" i="1"/>
  <c r="CC200" i="1"/>
  <c r="CB200" i="1"/>
  <c r="CA200" i="1"/>
  <c r="BZ200" i="1"/>
  <c r="CE199" i="1"/>
  <c r="CD199" i="1"/>
  <c r="CC199" i="1"/>
  <c r="CB199" i="1"/>
  <c r="CA199" i="1"/>
  <c r="BZ199" i="1"/>
  <c r="CE198" i="1"/>
  <c r="CD198" i="1"/>
  <c r="CC198" i="1"/>
  <c r="CB198" i="1"/>
  <c r="CA198" i="1"/>
  <c r="BZ198" i="1"/>
  <c r="CE197" i="1"/>
  <c r="CD197" i="1"/>
  <c r="CC197" i="1"/>
  <c r="CB197" i="1"/>
  <c r="CA197" i="1"/>
  <c r="BZ197" i="1"/>
  <c r="CE196" i="1"/>
  <c r="CD196" i="1"/>
  <c r="CC196" i="1"/>
  <c r="CB196" i="1"/>
  <c r="CA196" i="1"/>
  <c r="BZ196" i="1"/>
  <c r="CE195" i="1"/>
  <c r="CD195" i="1"/>
  <c r="CC195" i="1"/>
  <c r="CB195" i="1"/>
  <c r="CA195" i="1"/>
  <c r="BZ195" i="1"/>
  <c r="CE194" i="1"/>
  <c r="CD194" i="1"/>
  <c r="CC194" i="1"/>
  <c r="CB194" i="1"/>
  <c r="CA194" i="1"/>
  <c r="BZ194" i="1"/>
  <c r="CE193" i="1"/>
  <c r="CD193" i="1"/>
  <c r="CC193" i="1"/>
  <c r="CB193" i="1"/>
  <c r="CA193" i="1"/>
  <c r="BZ193" i="1"/>
  <c r="CE192" i="1"/>
  <c r="CD192" i="1"/>
  <c r="CC192" i="1"/>
  <c r="CB192" i="1"/>
  <c r="CA192" i="1"/>
  <c r="BZ192" i="1"/>
  <c r="CE191" i="1"/>
  <c r="CD191" i="1"/>
  <c r="CC191" i="1"/>
  <c r="CB191" i="1"/>
  <c r="CA191" i="1"/>
  <c r="BZ191" i="1"/>
  <c r="CE190" i="1"/>
  <c r="CD190" i="1"/>
  <c r="CC190" i="1"/>
  <c r="CB190" i="1"/>
  <c r="CA190" i="1"/>
  <c r="BZ190" i="1"/>
  <c r="CE189" i="1"/>
  <c r="CD189" i="1"/>
  <c r="CC189" i="1"/>
  <c r="CB189" i="1"/>
  <c r="CA189" i="1"/>
  <c r="BZ189" i="1"/>
  <c r="CE188" i="1"/>
  <c r="CD188" i="1"/>
  <c r="CC188" i="1"/>
  <c r="CB188" i="1"/>
  <c r="CA188" i="1"/>
  <c r="BZ188" i="1"/>
  <c r="CE187" i="1"/>
  <c r="CD187" i="1"/>
  <c r="CC187" i="1"/>
  <c r="CB187" i="1"/>
  <c r="CA187" i="1"/>
  <c r="BZ187" i="1"/>
  <c r="CE186" i="1"/>
  <c r="CD186" i="1"/>
  <c r="CC186" i="1"/>
  <c r="CB186" i="1"/>
  <c r="CA186" i="1"/>
  <c r="BZ186" i="1"/>
  <c r="CE185" i="1"/>
  <c r="CD185" i="1"/>
  <c r="CC185" i="1"/>
  <c r="CB185" i="1"/>
  <c r="CA185" i="1"/>
  <c r="BZ185" i="1"/>
  <c r="CE184" i="1"/>
  <c r="CD184" i="1"/>
  <c r="CC184" i="1"/>
  <c r="CB184" i="1"/>
  <c r="CA184" i="1"/>
  <c r="BZ184" i="1"/>
  <c r="CE183" i="1"/>
  <c r="CD183" i="1"/>
  <c r="CC183" i="1"/>
  <c r="CB183" i="1"/>
  <c r="CA183" i="1"/>
  <c r="BZ183" i="1"/>
  <c r="CE182" i="1"/>
  <c r="CD182" i="1"/>
  <c r="CC182" i="1"/>
  <c r="CB182" i="1"/>
  <c r="CA182" i="1"/>
  <c r="BZ182" i="1"/>
  <c r="CE181" i="1"/>
  <c r="CD181" i="1"/>
  <c r="CC181" i="1"/>
  <c r="CB181" i="1"/>
  <c r="CA181" i="1"/>
  <c r="BZ181" i="1"/>
  <c r="CE180" i="1"/>
  <c r="CD180" i="1"/>
  <c r="CC180" i="1"/>
  <c r="CB180" i="1"/>
  <c r="CA180" i="1"/>
  <c r="BZ180" i="1"/>
  <c r="CE179" i="1"/>
  <c r="CD179" i="1"/>
  <c r="CC179" i="1"/>
  <c r="CB179" i="1"/>
  <c r="CA179" i="1"/>
  <c r="BZ179" i="1"/>
  <c r="CE178" i="1"/>
  <c r="CD178" i="1"/>
  <c r="CC178" i="1"/>
  <c r="CB178" i="1"/>
  <c r="CA178" i="1"/>
  <c r="BZ178" i="1"/>
  <c r="CE177" i="1"/>
  <c r="CD177" i="1"/>
  <c r="CC177" i="1"/>
  <c r="CB177" i="1"/>
  <c r="CA177" i="1"/>
  <c r="BZ177" i="1"/>
  <c r="CE176" i="1"/>
  <c r="CD176" i="1"/>
  <c r="CC176" i="1"/>
  <c r="CB176" i="1"/>
  <c r="CA176" i="1"/>
  <c r="BZ176" i="1"/>
  <c r="CE175" i="1"/>
  <c r="CD175" i="1"/>
  <c r="CC175" i="1"/>
  <c r="CB175" i="1"/>
  <c r="CA175" i="1"/>
  <c r="BZ175" i="1"/>
  <c r="CE174" i="1"/>
  <c r="CD174" i="1"/>
  <c r="CC174" i="1"/>
  <c r="CB174" i="1"/>
  <c r="CA174" i="1"/>
  <c r="BZ174" i="1"/>
  <c r="CE173" i="1"/>
  <c r="CD173" i="1"/>
  <c r="CC173" i="1"/>
  <c r="CB173" i="1"/>
  <c r="CA173" i="1"/>
  <c r="BZ173" i="1"/>
  <c r="CE172" i="1"/>
  <c r="CD172" i="1"/>
  <c r="CC172" i="1"/>
  <c r="CB172" i="1"/>
  <c r="CA172" i="1"/>
  <c r="BZ172" i="1"/>
  <c r="CE171" i="1"/>
  <c r="CD171" i="1"/>
  <c r="CC171" i="1"/>
  <c r="CB171" i="1"/>
  <c r="CA171" i="1"/>
  <c r="BZ171" i="1"/>
  <c r="CE170" i="1"/>
  <c r="CD170" i="1"/>
  <c r="CC170" i="1"/>
  <c r="CB170" i="1"/>
  <c r="CA170" i="1"/>
  <c r="BZ170" i="1"/>
  <c r="CE169" i="1"/>
  <c r="CD169" i="1"/>
  <c r="CC169" i="1"/>
  <c r="CB169" i="1"/>
  <c r="CA169" i="1"/>
  <c r="BZ169" i="1"/>
  <c r="CE168" i="1"/>
  <c r="CD168" i="1"/>
  <c r="CC168" i="1"/>
  <c r="CB168" i="1"/>
  <c r="CA168" i="1"/>
  <c r="BZ168" i="1"/>
  <c r="CE167" i="1"/>
  <c r="CD167" i="1"/>
  <c r="CC167" i="1"/>
  <c r="CB167" i="1"/>
  <c r="CA167" i="1"/>
  <c r="BZ167" i="1"/>
  <c r="CE166" i="1"/>
  <c r="CD166" i="1"/>
  <c r="CC166" i="1"/>
  <c r="CB166" i="1"/>
  <c r="CA166" i="1"/>
  <c r="BZ166" i="1"/>
  <c r="CE165" i="1"/>
  <c r="CD165" i="1"/>
  <c r="CC165" i="1"/>
  <c r="CB165" i="1"/>
  <c r="CA165" i="1"/>
  <c r="BZ165" i="1"/>
  <c r="CE164" i="1"/>
  <c r="CD164" i="1"/>
  <c r="CC164" i="1"/>
  <c r="CB164" i="1"/>
  <c r="CA164" i="1"/>
  <c r="BZ164" i="1"/>
  <c r="CE163" i="1"/>
  <c r="CD163" i="1"/>
  <c r="CC163" i="1"/>
  <c r="CB163" i="1"/>
  <c r="CA163" i="1"/>
  <c r="BZ163" i="1"/>
  <c r="CE162" i="1"/>
  <c r="CD162" i="1"/>
  <c r="CC162" i="1"/>
  <c r="CB162" i="1"/>
  <c r="CA162" i="1"/>
  <c r="BZ162" i="1"/>
  <c r="CE161" i="1"/>
  <c r="CD161" i="1"/>
  <c r="CC161" i="1"/>
  <c r="CB161" i="1"/>
  <c r="CA161" i="1"/>
  <c r="BZ161" i="1"/>
  <c r="CE160" i="1"/>
  <c r="CD160" i="1"/>
  <c r="CC160" i="1"/>
  <c r="CB160" i="1"/>
  <c r="CA160" i="1"/>
  <c r="BZ160" i="1"/>
  <c r="CE159" i="1"/>
  <c r="CD159" i="1"/>
  <c r="CC159" i="1"/>
  <c r="CB159" i="1"/>
  <c r="CA159" i="1"/>
  <c r="BZ159" i="1"/>
  <c r="CE158" i="1"/>
  <c r="CD158" i="1"/>
  <c r="CC158" i="1"/>
  <c r="CB158" i="1"/>
  <c r="CA158" i="1"/>
  <c r="BZ158" i="1"/>
  <c r="CE157" i="1"/>
  <c r="CD157" i="1"/>
  <c r="CC157" i="1"/>
  <c r="CB157" i="1"/>
  <c r="CA157" i="1"/>
  <c r="BZ157" i="1"/>
  <c r="CE156" i="1"/>
  <c r="CD156" i="1"/>
  <c r="CC156" i="1"/>
  <c r="CB156" i="1"/>
  <c r="CA156" i="1"/>
  <c r="BZ156" i="1"/>
  <c r="CE155" i="1"/>
  <c r="CD155" i="1"/>
  <c r="CC155" i="1"/>
  <c r="CB155" i="1"/>
  <c r="CA155" i="1"/>
  <c r="BZ155" i="1"/>
  <c r="CE154" i="1"/>
  <c r="CD154" i="1"/>
  <c r="CC154" i="1"/>
  <c r="CB154" i="1"/>
  <c r="CA154" i="1"/>
  <c r="BZ154" i="1"/>
  <c r="CE153" i="1"/>
  <c r="CD153" i="1"/>
  <c r="CC153" i="1"/>
  <c r="CB153" i="1"/>
  <c r="CA153" i="1"/>
  <c r="BZ153" i="1"/>
  <c r="CE152" i="1"/>
  <c r="CD152" i="1"/>
  <c r="CC152" i="1"/>
  <c r="CB152" i="1"/>
  <c r="CA152" i="1"/>
  <c r="BZ152" i="1"/>
  <c r="CE151" i="1"/>
  <c r="CD151" i="1"/>
  <c r="CC151" i="1"/>
  <c r="CB151" i="1"/>
  <c r="CA151" i="1"/>
  <c r="BZ151" i="1"/>
  <c r="CE150" i="1"/>
  <c r="CD150" i="1"/>
  <c r="CC150" i="1"/>
  <c r="CB150" i="1"/>
  <c r="CA150" i="1"/>
  <c r="BZ150" i="1"/>
  <c r="CE149" i="1"/>
  <c r="CD149" i="1"/>
  <c r="CC149" i="1"/>
  <c r="CB149" i="1"/>
  <c r="CA149" i="1"/>
  <c r="BZ149" i="1"/>
  <c r="CE148" i="1"/>
  <c r="CD148" i="1"/>
  <c r="CC148" i="1"/>
  <c r="CB148" i="1"/>
  <c r="CA148" i="1"/>
  <c r="BZ148" i="1"/>
  <c r="CE147" i="1"/>
  <c r="CD147" i="1"/>
  <c r="CC147" i="1"/>
  <c r="CB147" i="1"/>
  <c r="CA147" i="1"/>
  <c r="BZ147" i="1"/>
  <c r="CE146" i="1"/>
  <c r="CD146" i="1"/>
  <c r="CC146" i="1"/>
  <c r="CB146" i="1"/>
  <c r="CA146" i="1"/>
  <c r="BZ146" i="1"/>
  <c r="CE145" i="1"/>
  <c r="CD145" i="1"/>
  <c r="CC145" i="1"/>
  <c r="CB145" i="1"/>
  <c r="CA145" i="1"/>
  <c r="BZ145" i="1"/>
  <c r="CE144" i="1"/>
  <c r="CD144" i="1"/>
  <c r="CC144" i="1"/>
  <c r="CB144" i="1"/>
  <c r="CA144" i="1"/>
  <c r="BZ144" i="1"/>
  <c r="CE143" i="1"/>
  <c r="CD143" i="1"/>
  <c r="CC143" i="1"/>
  <c r="CB143" i="1"/>
  <c r="CA143" i="1"/>
  <c r="BZ143" i="1"/>
  <c r="CE142" i="1"/>
  <c r="CD142" i="1"/>
  <c r="CC142" i="1"/>
  <c r="CB142" i="1"/>
  <c r="CA142" i="1"/>
  <c r="BZ142" i="1"/>
  <c r="CE141" i="1"/>
  <c r="CD141" i="1"/>
  <c r="CC141" i="1"/>
  <c r="CB141" i="1"/>
  <c r="CA141" i="1"/>
  <c r="BZ141" i="1"/>
  <c r="CE140" i="1"/>
  <c r="CD140" i="1"/>
  <c r="CA140" i="1"/>
  <c r="BZ140" i="1"/>
  <c r="CE139" i="1"/>
  <c r="CD139" i="1"/>
  <c r="CA139" i="1"/>
  <c r="BZ139" i="1"/>
  <c r="CE138" i="1"/>
  <c r="CD138" i="1"/>
  <c r="CC138" i="1"/>
  <c r="CB138" i="1"/>
  <c r="CA138" i="1"/>
  <c r="BZ138" i="1"/>
  <c r="CE137" i="1"/>
  <c r="CD137" i="1"/>
  <c r="CC137" i="1"/>
  <c r="CB137" i="1"/>
  <c r="CA137" i="1"/>
  <c r="BZ137" i="1"/>
  <c r="CE136" i="1"/>
  <c r="CD136" i="1"/>
  <c r="CC136" i="1"/>
  <c r="CB136" i="1"/>
  <c r="CA136" i="1"/>
  <c r="BZ136" i="1"/>
  <c r="CE135" i="1"/>
  <c r="CD135" i="1"/>
  <c r="CC135" i="1"/>
  <c r="CB135" i="1"/>
  <c r="CA135" i="1"/>
  <c r="BZ135" i="1"/>
  <c r="CE134" i="1"/>
  <c r="CD134" i="1"/>
  <c r="CC134" i="1"/>
  <c r="CB134" i="1"/>
  <c r="CA134" i="1"/>
  <c r="BZ134" i="1"/>
  <c r="CE133" i="1"/>
  <c r="CD133" i="1"/>
  <c r="CC133" i="1"/>
  <c r="CB133" i="1"/>
  <c r="CA133" i="1"/>
  <c r="BZ133" i="1"/>
  <c r="CE132" i="1"/>
  <c r="CD132" i="1"/>
  <c r="CC132" i="1"/>
  <c r="CB132" i="1"/>
  <c r="CA132" i="1"/>
  <c r="BZ132" i="1"/>
  <c r="CE131" i="1"/>
  <c r="CD131" i="1"/>
  <c r="CC131" i="1"/>
  <c r="CB131" i="1"/>
  <c r="CA131" i="1"/>
  <c r="BZ131" i="1"/>
  <c r="CE130" i="1"/>
  <c r="CD130" i="1"/>
  <c r="CC130" i="1"/>
  <c r="CB130" i="1"/>
  <c r="CA130" i="1"/>
  <c r="BZ130" i="1"/>
  <c r="CE129" i="1"/>
  <c r="CD129" i="1"/>
  <c r="CC129" i="1"/>
  <c r="CB129" i="1"/>
  <c r="CA129" i="1"/>
  <c r="BZ129" i="1"/>
  <c r="CE128" i="1"/>
  <c r="CD128" i="1"/>
  <c r="CC128" i="1"/>
  <c r="CB128" i="1"/>
  <c r="CA128" i="1"/>
  <c r="BZ128" i="1"/>
  <c r="CE127" i="1"/>
  <c r="CD127" i="1"/>
  <c r="CC127" i="1"/>
  <c r="CB127" i="1"/>
  <c r="CA127" i="1"/>
  <c r="BZ127" i="1"/>
  <c r="CE126" i="1"/>
  <c r="CD126" i="1"/>
  <c r="CC126" i="1"/>
  <c r="CB126" i="1"/>
  <c r="CA126" i="1"/>
  <c r="BZ126" i="1"/>
  <c r="CE125" i="1"/>
  <c r="CD125" i="1"/>
  <c r="CC125" i="1"/>
  <c r="CB125" i="1"/>
  <c r="CA125" i="1"/>
  <c r="BZ125" i="1"/>
  <c r="CE124" i="1"/>
  <c r="CD124" i="1"/>
  <c r="CC124" i="1"/>
  <c r="CB124" i="1"/>
  <c r="CA124" i="1"/>
  <c r="BZ124" i="1"/>
  <c r="CE123" i="1"/>
  <c r="CD123" i="1"/>
  <c r="CC123" i="1"/>
  <c r="CB123" i="1"/>
  <c r="CA123" i="1"/>
  <c r="BZ123" i="1"/>
  <c r="CE122" i="1"/>
  <c r="CD122" i="1"/>
  <c r="CC122" i="1"/>
  <c r="CB122" i="1"/>
  <c r="CA122" i="1"/>
  <c r="BZ122" i="1"/>
  <c r="CE121" i="1"/>
  <c r="CD121" i="1"/>
  <c r="CC121" i="1"/>
  <c r="CB121" i="1"/>
  <c r="CA121" i="1"/>
  <c r="BZ121" i="1"/>
  <c r="CE120" i="1"/>
  <c r="CD120" i="1"/>
  <c r="CC120" i="1"/>
  <c r="CB120" i="1"/>
  <c r="CA120" i="1"/>
  <c r="BZ120" i="1"/>
  <c r="CE119" i="1"/>
  <c r="CD119" i="1"/>
  <c r="CC119" i="1"/>
  <c r="CB119" i="1"/>
  <c r="CA119" i="1"/>
  <c r="BZ119" i="1"/>
  <c r="CE118" i="1"/>
  <c r="CD118" i="1"/>
  <c r="CC118" i="1"/>
  <c r="CB118" i="1"/>
  <c r="CA118" i="1"/>
  <c r="BZ118" i="1"/>
  <c r="CE117" i="1"/>
  <c r="CD117" i="1"/>
  <c r="CC117" i="1"/>
  <c r="CB117" i="1"/>
  <c r="CA117" i="1"/>
  <c r="BZ117" i="1"/>
  <c r="CE116" i="1"/>
  <c r="CD116" i="1"/>
  <c r="CC116" i="1"/>
  <c r="CB116" i="1"/>
  <c r="CA116" i="1"/>
  <c r="BZ116" i="1"/>
  <c r="CE115" i="1"/>
  <c r="CD115" i="1"/>
  <c r="CC115" i="1"/>
  <c r="CB115" i="1"/>
  <c r="CA115" i="1"/>
  <c r="BZ115" i="1"/>
  <c r="CE114" i="1"/>
  <c r="CD114" i="1"/>
  <c r="CC114" i="1"/>
  <c r="CB114" i="1"/>
  <c r="CA114" i="1"/>
  <c r="BZ114" i="1"/>
  <c r="CE113" i="1"/>
  <c r="CD113" i="1"/>
  <c r="CC113" i="1"/>
  <c r="CB113" i="1"/>
  <c r="CA113" i="1"/>
  <c r="BZ113" i="1"/>
  <c r="CE112" i="1"/>
  <c r="CD112" i="1"/>
  <c r="CC112" i="1"/>
  <c r="CB112" i="1"/>
  <c r="CA112" i="1"/>
  <c r="BZ112" i="1"/>
  <c r="CE111" i="1"/>
  <c r="CD111" i="1"/>
  <c r="CC111" i="1"/>
  <c r="CB111" i="1"/>
  <c r="CA111" i="1"/>
  <c r="BZ111" i="1"/>
  <c r="CE110" i="1"/>
  <c r="CD110" i="1"/>
  <c r="CC110" i="1"/>
  <c r="CB110" i="1"/>
  <c r="CA110" i="1"/>
  <c r="BZ110" i="1"/>
  <c r="CE109" i="1"/>
  <c r="CD109" i="1"/>
  <c r="CC109" i="1"/>
  <c r="CB109" i="1"/>
  <c r="CA109" i="1"/>
  <c r="BZ109" i="1"/>
  <c r="CE108" i="1"/>
  <c r="CD108" i="1"/>
  <c r="CC108" i="1"/>
  <c r="CB108" i="1"/>
  <c r="CA108" i="1"/>
  <c r="BZ108" i="1"/>
  <c r="CE107" i="1"/>
  <c r="CD107" i="1"/>
  <c r="CC107" i="1"/>
  <c r="CB107" i="1"/>
  <c r="CA107" i="1"/>
  <c r="BZ107" i="1"/>
  <c r="CE106" i="1"/>
  <c r="CD106" i="1"/>
  <c r="CC106" i="1"/>
  <c r="CB106" i="1"/>
  <c r="CA106" i="1"/>
  <c r="BZ106" i="1"/>
  <c r="CE105" i="1"/>
  <c r="CD105" i="1"/>
  <c r="CC105" i="1"/>
  <c r="CB105" i="1"/>
  <c r="CA105" i="1"/>
  <c r="BZ105" i="1"/>
  <c r="CE104" i="1"/>
  <c r="CD104" i="1"/>
  <c r="CC104" i="1"/>
  <c r="CB104" i="1"/>
  <c r="CA104" i="1"/>
  <c r="BZ104" i="1"/>
  <c r="CE103" i="1"/>
  <c r="CD103" i="1"/>
  <c r="CC103" i="1"/>
  <c r="CB103" i="1"/>
  <c r="CA103" i="1"/>
  <c r="BZ103" i="1"/>
  <c r="CE102" i="1"/>
  <c r="CD102" i="1"/>
  <c r="CC102" i="1"/>
  <c r="CB102" i="1"/>
  <c r="CA102" i="1"/>
  <c r="BZ102" i="1"/>
  <c r="CE101" i="1"/>
  <c r="CD101" i="1"/>
  <c r="CC101" i="1"/>
  <c r="CB101" i="1"/>
  <c r="CA101" i="1"/>
  <c r="BZ101" i="1"/>
  <c r="CE100" i="1"/>
  <c r="CD100" i="1"/>
  <c r="CC100" i="1"/>
  <c r="CB100" i="1"/>
  <c r="CA100" i="1"/>
  <c r="BZ100" i="1"/>
  <c r="CE99" i="1"/>
  <c r="CD99" i="1"/>
  <c r="CC99" i="1"/>
  <c r="CB99" i="1"/>
  <c r="CA99" i="1"/>
  <c r="BZ99" i="1"/>
  <c r="CE98" i="1"/>
  <c r="CD98" i="1"/>
  <c r="CC98" i="1"/>
  <c r="CB98" i="1"/>
  <c r="CA98" i="1"/>
  <c r="BZ98" i="1"/>
  <c r="CE97" i="1"/>
  <c r="CD97" i="1"/>
  <c r="CC97" i="1"/>
  <c r="CB97" i="1"/>
  <c r="CA97" i="1"/>
  <c r="BZ97" i="1"/>
  <c r="CE96" i="1"/>
  <c r="CD96" i="1"/>
  <c r="CC96" i="1"/>
  <c r="CB96" i="1"/>
  <c r="CA96" i="1"/>
  <c r="BZ96" i="1"/>
  <c r="CE95" i="1"/>
  <c r="CD95" i="1"/>
  <c r="CC95" i="1"/>
  <c r="CB95" i="1"/>
  <c r="CA95" i="1"/>
  <c r="BZ95" i="1"/>
  <c r="CE94" i="1"/>
  <c r="CD94" i="1"/>
  <c r="CC94" i="1"/>
  <c r="CB94" i="1"/>
  <c r="CA94" i="1"/>
  <c r="BZ94" i="1"/>
  <c r="CE93" i="1"/>
  <c r="CD93" i="1"/>
  <c r="CC93" i="1"/>
  <c r="CB93" i="1"/>
  <c r="CA93" i="1"/>
  <c r="BZ93" i="1"/>
  <c r="CE92" i="1"/>
  <c r="CD92" i="1"/>
  <c r="CC92" i="1"/>
  <c r="CB92" i="1"/>
  <c r="CA92" i="1"/>
  <c r="BZ92" i="1"/>
  <c r="CE91" i="1"/>
  <c r="CD91" i="1"/>
  <c r="CC91" i="1"/>
  <c r="CB91" i="1"/>
  <c r="CA91" i="1"/>
  <c r="BZ91" i="1"/>
  <c r="CE90" i="1"/>
  <c r="CD90" i="1"/>
  <c r="CC90" i="1"/>
  <c r="CB90" i="1"/>
  <c r="CA90" i="1"/>
  <c r="BZ90" i="1"/>
  <c r="CE89" i="1"/>
  <c r="CD89" i="1"/>
  <c r="CC89" i="1"/>
  <c r="CB89" i="1"/>
  <c r="CA89" i="1"/>
  <c r="BZ89" i="1"/>
  <c r="CE88" i="1"/>
  <c r="CD88" i="1"/>
  <c r="CC88" i="1"/>
  <c r="CB88" i="1"/>
  <c r="CA88" i="1"/>
  <c r="BZ88" i="1"/>
  <c r="CE87" i="1"/>
  <c r="CD87" i="1"/>
  <c r="CC87" i="1"/>
  <c r="CB87" i="1"/>
  <c r="CA87" i="1"/>
  <c r="BZ87" i="1"/>
  <c r="CE86" i="1"/>
  <c r="CD86" i="1"/>
  <c r="CC86" i="1"/>
  <c r="CB86" i="1"/>
  <c r="CA86" i="1"/>
  <c r="BZ86" i="1"/>
  <c r="CE85" i="1"/>
  <c r="CD85" i="1"/>
  <c r="CC85" i="1"/>
  <c r="CB85" i="1"/>
  <c r="CA85" i="1"/>
  <c r="BZ85" i="1"/>
  <c r="CE84" i="1"/>
  <c r="CD84" i="1"/>
  <c r="CC84" i="1"/>
  <c r="CB84" i="1"/>
  <c r="CA84" i="1"/>
  <c r="BZ84" i="1"/>
  <c r="CE83" i="1"/>
  <c r="CD83" i="1"/>
  <c r="CC83" i="1"/>
  <c r="CB83" i="1"/>
  <c r="CA83" i="1"/>
  <c r="BZ83" i="1"/>
  <c r="CE82" i="1"/>
  <c r="CD82" i="1"/>
  <c r="CC82" i="1"/>
  <c r="CB82" i="1"/>
  <c r="CA82" i="1"/>
  <c r="BZ82" i="1"/>
  <c r="CE81" i="1"/>
  <c r="CD81" i="1"/>
  <c r="CC81" i="1"/>
  <c r="CB81" i="1"/>
  <c r="CA81" i="1"/>
  <c r="BZ81" i="1"/>
  <c r="CE80" i="1"/>
  <c r="CD80" i="1"/>
  <c r="CC80" i="1"/>
  <c r="CB80" i="1"/>
  <c r="CA80" i="1"/>
  <c r="BZ80" i="1"/>
  <c r="CE79" i="1"/>
  <c r="CD79" i="1"/>
  <c r="CC79" i="1"/>
  <c r="CB79" i="1"/>
  <c r="CA79" i="1"/>
  <c r="BZ79" i="1"/>
  <c r="CE78" i="1"/>
  <c r="CD78" i="1"/>
  <c r="CC78" i="1"/>
  <c r="CB78" i="1"/>
  <c r="CA78" i="1"/>
  <c r="BZ78" i="1"/>
  <c r="CE77" i="1"/>
  <c r="CD77" i="1"/>
  <c r="CC77" i="1"/>
  <c r="CB77" i="1"/>
  <c r="CA77" i="1"/>
  <c r="BZ77" i="1"/>
  <c r="CE76" i="1"/>
  <c r="CD76" i="1"/>
  <c r="CC76" i="1"/>
  <c r="CB76" i="1"/>
  <c r="CA76" i="1"/>
  <c r="BZ76" i="1"/>
  <c r="CE75" i="1"/>
  <c r="CD75" i="1"/>
  <c r="CC75" i="1"/>
  <c r="CB75" i="1"/>
  <c r="CA75" i="1"/>
  <c r="BZ75" i="1"/>
  <c r="CE74" i="1"/>
  <c r="CD74" i="1"/>
  <c r="CC74" i="1"/>
  <c r="CB74" i="1"/>
  <c r="CA74" i="1"/>
  <c r="BZ74" i="1"/>
  <c r="CE73" i="1"/>
  <c r="CD73" i="1"/>
  <c r="CC73" i="1"/>
  <c r="CB73" i="1"/>
  <c r="CA73" i="1"/>
  <c r="BZ73" i="1"/>
  <c r="CE72" i="1"/>
  <c r="CD72" i="1"/>
  <c r="CC72" i="1"/>
  <c r="CB72" i="1"/>
  <c r="CA72" i="1"/>
  <c r="BZ72" i="1"/>
  <c r="CE71" i="1"/>
  <c r="CD71" i="1"/>
  <c r="CC71" i="1"/>
  <c r="CB71" i="1"/>
  <c r="CA71" i="1"/>
  <c r="BZ71" i="1"/>
  <c r="CE70" i="1"/>
  <c r="CD70" i="1"/>
  <c r="CC70" i="1"/>
  <c r="CB70" i="1"/>
  <c r="CA70" i="1"/>
  <c r="BZ70" i="1"/>
  <c r="CE69" i="1"/>
  <c r="CD69" i="1"/>
  <c r="CC69" i="1"/>
  <c r="CB69" i="1"/>
  <c r="CA69" i="1"/>
  <c r="BZ69" i="1"/>
  <c r="CE68" i="1"/>
  <c r="CD68" i="1"/>
  <c r="CC68" i="1"/>
  <c r="CB68" i="1"/>
  <c r="CA68" i="1"/>
  <c r="BZ68" i="1"/>
  <c r="CE67" i="1"/>
  <c r="CD67" i="1"/>
  <c r="CC67" i="1"/>
  <c r="CB67" i="1"/>
  <c r="CA67" i="1"/>
  <c r="BZ67" i="1"/>
  <c r="CE66" i="1"/>
  <c r="CD66" i="1"/>
  <c r="CC66" i="1"/>
  <c r="CB66" i="1"/>
  <c r="CA66" i="1"/>
  <c r="BZ66" i="1"/>
  <c r="CE65" i="1"/>
  <c r="CD65" i="1"/>
  <c r="CC65" i="1"/>
  <c r="CB65" i="1"/>
  <c r="CA65" i="1"/>
  <c r="BZ65" i="1"/>
  <c r="CE64" i="1"/>
  <c r="CD64" i="1"/>
  <c r="CC64" i="1"/>
  <c r="CB64" i="1"/>
  <c r="CA64" i="1"/>
  <c r="BZ64" i="1"/>
  <c r="CE63" i="1"/>
  <c r="CD63" i="1"/>
  <c r="CC63" i="1"/>
  <c r="CB63" i="1"/>
  <c r="CA63" i="1"/>
  <c r="BZ63" i="1"/>
  <c r="CE62" i="1"/>
  <c r="CD62" i="1"/>
  <c r="CC62" i="1"/>
  <c r="CB62" i="1"/>
  <c r="CA62" i="1"/>
  <c r="BZ62" i="1"/>
  <c r="CE61" i="1"/>
  <c r="CD61" i="1"/>
  <c r="CC61" i="1"/>
  <c r="CB61" i="1"/>
  <c r="CA61" i="1"/>
  <c r="BZ61" i="1"/>
  <c r="CE60" i="1"/>
  <c r="CD60" i="1"/>
  <c r="CC60" i="1"/>
  <c r="CB60" i="1"/>
  <c r="CA60" i="1"/>
  <c r="BZ60" i="1"/>
  <c r="CE59" i="1"/>
  <c r="CD59" i="1"/>
  <c r="CC59" i="1"/>
  <c r="CB59" i="1"/>
  <c r="CA59" i="1"/>
  <c r="BZ59" i="1"/>
  <c r="CE58" i="1"/>
  <c r="CD58" i="1"/>
  <c r="CC58" i="1"/>
  <c r="CB58" i="1"/>
  <c r="CA58" i="1"/>
  <c r="BZ58" i="1"/>
  <c r="CE57" i="1"/>
  <c r="CD57" i="1"/>
  <c r="CC57" i="1"/>
  <c r="CB57" i="1"/>
  <c r="CA57" i="1"/>
  <c r="BZ57" i="1"/>
  <c r="CE56" i="1"/>
  <c r="CD56" i="1"/>
  <c r="CC56" i="1"/>
  <c r="CB56" i="1"/>
  <c r="CA56" i="1"/>
  <c r="BZ56" i="1"/>
  <c r="CE55" i="1"/>
  <c r="CD55" i="1"/>
  <c r="CC55" i="1"/>
  <c r="CB55" i="1"/>
  <c r="CA55" i="1"/>
  <c r="BZ55" i="1"/>
  <c r="CE54" i="1"/>
  <c r="CD54" i="1"/>
  <c r="CC54" i="1"/>
  <c r="CB54" i="1"/>
  <c r="CA54" i="1"/>
  <c r="BZ54" i="1"/>
  <c r="CE53" i="1"/>
  <c r="CD53" i="1"/>
  <c r="CC53" i="1"/>
  <c r="CB53" i="1"/>
  <c r="CA53" i="1"/>
  <c r="BZ53" i="1"/>
  <c r="CE52" i="1"/>
  <c r="CD52" i="1"/>
  <c r="CC52" i="1"/>
  <c r="CB52" i="1"/>
  <c r="CA52" i="1"/>
  <c r="BZ52" i="1"/>
  <c r="CE51" i="1"/>
  <c r="CD51" i="1"/>
  <c r="CC51" i="1"/>
  <c r="CB51" i="1"/>
  <c r="CA51" i="1"/>
  <c r="BZ51" i="1"/>
  <c r="CE50" i="1"/>
  <c r="CD50" i="1"/>
  <c r="CC50" i="1"/>
  <c r="CB50" i="1"/>
  <c r="CA50" i="1"/>
  <c r="BZ50" i="1"/>
  <c r="CE49" i="1"/>
  <c r="CD49" i="1"/>
  <c r="CC49" i="1"/>
  <c r="CB49" i="1"/>
  <c r="CA49" i="1"/>
  <c r="BZ49" i="1"/>
  <c r="CE48" i="1"/>
  <c r="CD48" i="1"/>
  <c r="CC48" i="1"/>
  <c r="CB48" i="1"/>
  <c r="CA48" i="1"/>
  <c r="BZ48" i="1"/>
  <c r="CE47" i="1"/>
  <c r="CD47" i="1"/>
  <c r="CC47" i="1"/>
  <c r="CB47" i="1"/>
  <c r="CA47" i="1"/>
  <c r="BZ47" i="1"/>
  <c r="CE46" i="1"/>
  <c r="CD46" i="1"/>
  <c r="CC46" i="1"/>
  <c r="CB46" i="1"/>
  <c r="CA46" i="1"/>
  <c r="BZ46" i="1"/>
  <c r="CE45" i="1"/>
  <c r="CD45" i="1"/>
  <c r="CC45" i="1"/>
  <c r="CB45" i="1"/>
  <c r="CA45" i="1"/>
  <c r="BZ45" i="1"/>
  <c r="CE44" i="1"/>
  <c r="CD44" i="1"/>
  <c r="CC44" i="1"/>
  <c r="CB44" i="1"/>
  <c r="CA44" i="1"/>
  <c r="BZ44" i="1"/>
  <c r="CE43" i="1"/>
  <c r="CD43" i="1"/>
  <c r="CC43" i="1"/>
  <c r="CB43" i="1"/>
  <c r="CA43" i="1"/>
  <c r="BZ43" i="1"/>
  <c r="CE42" i="1"/>
  <c r="CD42" i="1"/>
  <c r="CC42" i="1"/>
  <c r="CB42" i="1"/>
  <c r="CA42" i="1"/>
  <c r="BZ42" i="1"/>
  <c r="CE41" i="1"/>
  <c r="CD41" i="1"/>
  <c r="CC41" i="1"/>
  <c r="CB41" i="1"/>
  <c r="CA41" i="1"/>
  <c r="BZ41" i="1"/>
  <c r="CE40" i="1"/>
  <c r="CD40" i="1"/>
  <c r="CC40" i="1"/>
  <c r="CB40" i="1"/>
  <c r="CA40" i="1"/>
  <c r="BZ40" i="1"/>
  <c r="CE39" i="1"/>
  <c r="CD39" i="1"/>
  <c r="CC39" i="1"/>
  <c r="CB39" i="1"/>
  <c r="CA39" i="1"/>
  <c r="BZ39" i="1"/>
  <c r="CE38" i="1"/>
  <c r="CD38" i="1"/>
  <c r="CC38" i="1"/>
  <c r="CB38" i="1"/>
  <c r="CA38" i="1"/>
  <c r="BZ38" i="1"/>
  <c r="CE37" i="1"/>
  <c r="CD37" i="1"/>
  <c r="CC37" i="1"/>
  <c r="CB37" i="1"/>
  <c r="CA37" i="1"/>
  <c r="BZ37" i="1"/>
  <c r="CE36" i="1"/>
  <c r="CD36" i="1"/>
  <c r="CC36" i="1"/>
  <c r="CB36" i="1"/>
  <c r="CA36" i="1"/>
  <c r="BZ36" i="1"/>
  <c r="CE35" i="1"/>
  <c r="CD35" i="1"/>
  <c r="CC35" i="1"/>
  <c r="CB35" i="1"/>
  <c r="CA35" i="1"/>
  <c r="BZ35" i="1"/>
  <c r="CE34" i="1"/>
  <c r="CD34" i="1"/>
  <c r="CC34" i="1"/>
  <c r="CB34" i="1"/>
  <c r="CA34" i="1"/>
  <c r="BZ34" i="1"/>
  <c r="CE33" i="1"/>
  <c r="CD33" i="1"/>
  <c r="CC33" i="1"/>
  <c r="CB33" i="1"/>
  <c r="CA33" i="1"/>
  <c r="BZ33" i="1"/>
  <c r="CE32" i="1"/>
  <c r="CD32" i="1"/>
  <c r="CC32" i="1"/>
  <c r="CB32" i="1"/>
  <c r="CA32" i="1"/>
  <c r="BZ32" i="1"/>
  <c r="CE31" i="1"/>
  <c r="CD31" i="1"/>
  <c r="CC31" i="1"/>
  <c r="CB31" i="1"/>
  <c r="CA31" i="1"/>
  <c r="BZ31" i="1"/>
  <c r="CE30" i="1"/>
  <c r="CD30" i="1"/>
  <c r="CC30" i="1"/>
  <c r="CB30" i="1"/>
  <c r="CA30" i="1"/>
  <c r="BZ30" i="1"/>
  <c r="CE29" i="1"/>
  <c r="CD29" i="1"/>
  <c r="CC29" i="1"/>
  <c r="CB29" i="1"/>
  <c r="CA29" i="1"/>
  <c r="BZ29" i="1"/>
  <c r="CE28" i="1"/>
  <c r="CD28" i="1"/>
  <c r="CC28" i="1"/>
  <c r="CB28" i="1"/>
  <c r="CA28" i="1"/>
  <c r="BZ28" i="1"/>
  <c r="CE27" i="1"/>
  <c r="CD27" i="1"/>
  <c r="CC27" i="1"/>
  <c r="CB27" i="1"/>
  <c r="CA27" i="1"/>
  <c r="BZ27" i="1"/>
  <c r="CE26" i="1"/>
  <c r="CD26" i="1"/>
  <c r="CC26" i="1"/>
  <c r="CB26" i="1"/>
  <c r="CA26" i="1"/>
  <c r="BZ26" i="1"/>
  <c r="CE25" i="1"/>
  <c r="CD25" i="1"/>
  <c r="CC25" i="1"/>
  <c r="CB25" i="1"/>
  <c r="CA25" i="1"/>
  <c r="BZ25" i="1"/>
  <c r="CE24" i="1"/>
  <c r="CD24" i="1"/>
  <c r="CC24" i="1"/>
  <c r="CB24" i="1"/>
  <c r="CA24" i="1"/>
  <c r="BZ24" i="1"/>
  <c r="CE23" i="1"/>
  <c r="CD23" i="1"/>
  <c r="CC23" i="1"/>
  <c r="CB23" i="1"/>
  <c r="CA23" i="1"/>
  <c r="BZ23" i="1"/>
  <c r="CE22" i="1"/>
  <c r="CD22" i="1"/>
  <c r="CC22" i="1"/>
  <c r="CB22" i="1"/>
  <c r="CA22" i="1"/>
  <c r="BZ22" i="1"/>
  <c r="CE21" i="1"/>
  <c r="CD21" i="1"/>
  <c r="CC21" i="1"/>
  <c r="CB21" i="1"/>
  <c r="CA21" i="1"/>
  <c r="BZ21" i="1"/>
  <c r="CE20" i="1"/>
  <c r="CD20" i="1"/>
  <c r="CC20" i="1"/>
  <c r="CB20" i="1"/>
  <c r="CA20" i="1"/>
  <c r="BZ20" i="1"/>
  <c r="CE19" i="1"/>
  <c r="CD19" i="1"/>
  <c r="CC19" i="1"/>
  <c r="CB19" i="1"/>
  <c r="CA19" i="1"/>
  <c r="BZ19" i="1"/>
  <c r="CE18" i="1"/>
  <c r="CD18" i="1"/>
  <c r="CC18" i="1"/>
  <c r="CB18" i="1"/>
  <c r="CA18" i="1"/>
  <c r="BZ18" i="1"/>
  <c r="CE17" i="1"/>
  <c r="CD17" i="1"/>
  <c r="CC17" i="1"/>
  <c r="CB17" i="1"/>
  <c r="CA17" i="1"/>
  <c r="BZ17" i="1"/>
  <c r="CE16" i="1"/>
  <c r="CD16" i="1"/>
  <c r="CC16" i="1"/>
  <c r="CB16" i="1"/>
  <c r="CA16" i="1"/>
  <c r="BZ16" i="1"/>
  <c r="CE15" i="1"/>
  <c r="CD15" i="1"/>
  <c r="CC15" i="1"/>
  <c r="CB15" i="1"/>
  <c r="CA15" i="1"/>
  <c r="BZ15" i="1"/>
  <c r="CE14" i="1"/>
  <c r="CD14" i="1"/>
  <c r="CC14" i="1"/>
  <c r="CB14" i="1"/>
  <c r="CA14" i="1"/>
  <c r="BZ14" i="1"/>
  <c r="CE13" i="1"/>
  <c r="CD13" i="1"/>
  <c r="CC13" i="1"/>
  <c r="CB13" i="1"/>
  <c r="CA13" i="1"/>
  <c r="BZ13" i="1"/>
  <c r="CE12" i="1"/>
  <c r="CD12" i="1"/>
  <c r="CC12" i="1"/>
  <c r="CB12" i="1"/>
  <c r="CA12" i="1"/>
  <c r="BZ12" i="1"/>
  <c r="CE11" i="1"/>
  <c r="CD11" i="1"/>
  <c r="CC11" i="1"/>
  <c r="CB11" i="1"/>
  <c r="CA11" i="1"/>
  <c r="BZ11" i="1"/>
  <c r="CE10" i="1"/>
  <c r="CD10" i="1"/>
  <c r="CC10" i="1"/>
  <c r="CB10" i="1"/>
  <c r="CA10" i="1"/>
  <c r="BZ10" i="1"/>
  <c r="CE9" i="1"/>
  <c r="CD9" i="1"/>
  <c r="CC9" i="1"/>
  <c r="CB9" i="1"/>
  <c r="CA9" i="1"/>
  <c r="BZ9" i="1"/>
  <c r="CE8" i="1"/>
  <c r="CD8" i="1"/>
  <c r="CC8" i="1"/>
  <c r="CB8" i="1"/>
  <c r="CA8" i="1"/>
  <c r="BZ8" i="1"/>
  <c r="CE7" i="1"/>
  <c r="CD7" i="1"/>
  <c r="CC7" i="1"/>
  <c r="CB7" i="1"/>
  <c r="CA7" i="1"/>
  <c r="BZ7" i="1"/>
  <c r="CE6" i="1"/>
  <c r="CD6" i="1"/>
  <c r="CA6" i="1"/>
  <c r="BZ6" i="1"/>
  <c r="CE5" i="1"/>
  <c r="CD5" i="1"/>
  <c r="CC5" i="1"/>
  <c r="CB5" i="1"/>
  <c r="CA5" i="1"/>
  <c r="BZ5" i="1"/>
  <c r="CE4" i="1"/>
  <c r="CD4" i="1"/>
  <c r="CC4" i="1"/>
  <c r="CB4" i="1"/>
  <c r="CA4" i="1"/>
  <c r="BZ4" i="1"/>
  <c r="CE3" i="1"/>
  <c r="CD3" i="1"/>
  <c r="CC3" i="1"/>
  <c r="CB3" i="1"/>
  <c r="CA3" i="1"/>
  <c r="BZ3" i="1"/>
  <c r="CE2" i="1"/>
  <c r="CD2" i="1"/>
  <c r="CC2" i="1"/>
  <c r="CB2" i="1"/>
  <c r="CA2" i="1"/>
  <c r="BZ2" i="1"/>
  <c r="CF234" i="1"/>
  <c r="AS297" i="1"/>
  <c r="AR297" i="1"/>
  <c r="AS296" i="1"/>
  <c r="AR296" i="1"/>
  <c r="AS295" i="1"/>
  <c r="AR295" i="1"/>
  <c r="AS294" i="1"/>
  <c r="AR294" i="1"/>
  <c r="AS293" i="1"/>
  <c r="AR293" i="1"/>
  <c r="AS292" i="1"/>
  <c r="AR292" i="1"/>
  <c r="AS291" i="1"/>
  <c r="AR291" i="1"/>
  <c r="AS290" i="1"/>
  <c r="AR290" i="1"/>
  <c r="AS289" i="1"/>
  <c r="AR289" i="1"/>
  <c r="AS288" i="1"/>
  <c r="AR288" i="1"/>
  <c r="AS287" i="1"/>
  <c r="AR287" i="1"/>
  <c r="AS286" i="1"/>
  <c r="AR286" i="1"/>
  <c r="AS285" i="1"/>
  <c r="AR285" i="1"/>
  <c r="AS284" i="1"/>
  <c r="AR284" i="1"/>
  <c r="AS283" i="1"/>
  <c r="AR283" i="1"/>
  <c r="AS282" i="1"/>
  <c r="AR282" i="1"/>
  <c r="AS281" i="1"/>
  <c r="AR281" i="1"/>
  <c r="AS280" i="1"/>
  <c r="AR280" i="1"/>
  <c r="AS279" i="1"/>
  <c r="AR279" i="1"/>
  <c r="AS278" i="1"/>
  <c r="AR278" i="1"/>
  <c r="AS277" i="1"/>
  <c r="AR277" i="1"/>
  <c r="AS276" i="1"/>
  <c r="AR276" i="1"/>
  <c r="AS275" i="1"/>
  <c r="AR275" i="1"/>
  <c r="AS274" i="1"/>
  <c r="AR274" i="1"/>
  <c r="AS273" i="1"/>
  <c r="AR273" i="1"/>
  <c r="AS272" i="1"/>
  <c r="AR272" i="1"/>
  <c r="AS271" i="1"/>
  <c r="AR271" i="1"/>
  <c r="AS270" i="1"/>
  <c r="AR270" i="1"/>
  <c r="AS269" i="1"/>
  <c r="AR269" i="1"/>
  <c r="AS268" i="1"/>
  <c r="AR268" i="1"/>
  <c r="AS267" i="1"/>
  <c r="AR267" i="1"/>
  <c r="AS266" i="1"/>
  <c r="AR266" i="1"/>
  <c r="AS265" i="1"/>
  <c r="AR265" i="1"/>
  <c r="AS264" i="1"/>
  <c r="AR264" i="1"/>
  <c r="AS263" i="1"/>
  <c r="AR263" i="1"/>
  <c r="AS262" i="1"/>
  <c r="AR262" i="1"/>
  <c r="AS261" i="1"/>
  <c r="AR261" i="1"/>
  <c r="AS260" i="1"/>
  <c r="AR260" i="1"/>
  <c r="AS259" i="1"/>
  <c r="AR259" i="1"/>
  <c r="AS258" i="1"/>
  <c r="AR258" i="1"/>
  <c r="AS257" i="1"/>
  <c r="AR257" i="1"/>
  <c r="AS256" i="1"/>
  <c r="AR256" i="1"/>
  <c r="AS255" i="1"/>
  <c r="AR255" i="1"/>
  <c r="AS254" i="1"/>
  <c r="AR254" i="1"/>
  <c r="AS253" i="1"/>
  <c r="AR253" i="1"/>
  <c r="AS252" i="1"/>
  <c r="AR252" i="1"/>
  <c r="AS251" i="1"/>
  <c r="AR251" i="1"/>
  <c r="AS250" i="1"/>
  <c r="AR250" i="1"/>
  <c r="AS249" i="1"/>
  <c r="AR249" i="1"/>
  <c r="AS248" i="1"/>
  <c r="AR248" i="1"/>
  <c r="AS247" i="1"/>
  <c r="AR247" i="1"/>
  <c r="AS246" i="1"/>
  <c r="AR246" i="1"/>
  <c r="AS245" i="1"/>
  <c r="AR245" i="1"/>
  <c r="AS244" i="1"/>
  <c r="AR244" i="1"/>
  <c r="AS243" i="1"/>
  <c r="AR243" i="1"/>
  <c r="AS242" i="1"/>
  <c r="AR242" i="1"/>
  <c r="AS241" i="1"/>
  <c r="AR241" i="1"/>
  <c r="AS240" i="1"/>
  <c r="AR240" i="1"/>
  <c r="AS239" i="1"/>
  <c r="AR239" i="1"/>
  <c r="AS238" i="1"/>
  <c r="AR238" i="1"/>
  <c r="AS237" i="1"/>
  <c r="AR237" i="1"/>
  <c r="AS236" i="1"/>
  <c r="AR236" i="1"/>
  <c r="AS235" i="1"/>
  <c r="AR235" i="1"/>
  <c r="AS234" i="1"/>
  <c r="AR234" i="1"/>
  <c r="AS233" i="1"/>
  <c r="AR233" i="1"/>
  <c r="AS232" i="1"/>
  <c r="AR232" i="1"/>
  <c r="AS231" i="1"/>
  <c r="AR231" i="1"/>
  <c r="AS230" i="1"/>
  <c r="AR230" i="1"/>
  <c r="AS229" i="1"/>
  <c r="AR229" i="1"/>
  <c r="AS228" i="1"/>
  <c r="AR228" i="1"/>
  <c r="AS227" i="1"/>
  <c r="AR227" i="1"/>
  <c r="AS226" i="1"/>
  <c r="AR226" i="1"/>
  <c r="AS225" i="1"/>
  <c r="AR225" i="1"/>
  <c r="AS224" i="1"/>
  <c r="AR224" i="1"/>
  <c r="AS223" i="1"/>
  <c r="AR223" i="1"/>
  <c r="AS222" i="1"/>
  <c r="AR222" i="1"/>
  <c r="AS221" i="1"/>
  <c r="AR221" i="1"/>
  <c r="AS220" i="1"/>
  <c r="AR220" i="1"/>
  <c r="AS219" i="1"/>
  <c r="AR219" i="1"/>
  <c r="AS218" i="1"/>
  <c r="AR218" i="1"/>
  <c r="AS217" i="1"/>
  <c r="AR217" i="1"/>
  <c r="AS216" i="1"/>
  <c r="AR216" i="1"/>
  <c r="AS215" i="1"/>
  <c r="AR215" i="1"/>
  <c r="AS214" i="1"/>
  <c r="AR214" i="1"/>
  <c r="AS213" i="1"/>
  <c r="AR213" i="1"/>
  <c r="AS212" i="1"/>
  <c r="AR212" i="1"/>
  <c r="AS211" i="1"/>
  <c r="AR211" i="1"/>
  <c r="AS210" i="1"/>
  <c r="AR210" i="1"/>
  <c r="AS209" i="1"/>
  <c r="AR209" i="1"/>
  <c r="AS208" i="1"/>
  <c r="AR208" i="1"/>
  <c r="AS207" i="1"/>
  <c r="AR207" i="1"/>
  <c r="AS206" i="1"/>
  <c r="AR206" i="1"/>
  <c r="AS205" i="1"/>
  <c r="AR205" i="1"/>
  <c r="AS204" i="1"/>
  <c r="AR204" i="1"/>
  <c r="AS203" i="1"/>
  <c r="AR203" i="1"/>
  <c r="AS202" i="1"/>
  <c r="AR202" i="1"/>
  <c r="AS201" i="1"/>
  <c r="AR201" i="1"/>
  <c r="AS200" i="1"/>
  <c r="AR200" i="1"/>
  <c r="AS199" i="1"/>
  <c r="AR199" i="1"/>
  <c r="AS198" i="1"/>
  <c r="AR198" i="1"/>
  <c r="AS197" i="1"/>
  <c r="AR197" i="1"/>
  <c r="AS196" i="1"/>
  <c r="AR196" i="1"/>
  <c r="AS195" i="1"/>
  <c r="AR195" i="1"/>
  <c r="AS194" i="1"/>
  <c r="AR194" i="1"/>
  <c r="AS193" i="1"/>
  <c r="AR193" i="1"/>
  <c r="AS192" i="1"/>
  <c r="AR192" i="1"/>
  <c r="AS191" i="1"/>
  <c r="AR191" i="1"/>
  <c r="AS190" i="1"/>
  <c r="AR190" i="1"/>
  <c r="AS189" i="1"/>
  <c r="AR189" i="1"/>
  <c r="AS188" i="1"/>
  <c r="AR188" i="1"/>
  <c r="AS187" i="1"/>
  <c r="AR187" i="1"/>
  <c r="AS186" i="1"/>
  <c r="AR186" i="1"/>
  <c r="AS185" i="1"/>
  <c r="AR185" i="1"/>
  <c r="AS184" i="1"/>
  <c r="AR184" i="1"/>
  <c r="AS183" i="1"/>
  <c r="AR183" i="1"/>
  <c r="AS182" i="1"/>
  <c r="AR182" i="1"/>
  <c r="AS181" i="1"/>
  <c r="AR181" i="1"/>
  <c r="AS180" i="1"/>
  <c r="AR180" i="1"/>
  <c r="AS179" i="1"/>
  <c r="AR179" i="1"/>
  <c r="AS178" i="1"/>
  <c r="AR178" i="1"/>
  <c r="AS177" i="1"/>
  <c r="AR177" i="1"/>
  <c r="AS176" i="1"/>
  <c r="AR176" i="1"/>
  <c r="AS175" i="1"/>
  <c r="AR175" i="1"/>
  <c r="AS174" i="1"/>
  <c r="AR174" i="1"/>
  <c r="AS173" i="1"/>
  <c r="AR173" i="1"/>
  <c r="AS172" i="1"/>
  <c r="AR172" i="1"/>
  <c r="AS171" i="1"/>
  <c r="AR171" i="1"/>
  <c r="AS170" i="1"/>
  <c r="AR170" i="1"/>
  <c r="AS169" i="1"/>
  <c r="AR169" i="1"/>
  <c r="AS168" i="1"/>
  <c r="AR168" i="1"/>
  <c r="AS167" i="1"/>
  <c r="AR167" i="1"/>
  <c r="AS166" i="1"/>
  <c r="AR166" i="1"/>
  <c r="AS165" i="1"/>
  <c r="AR165" i="1"/>
  <c r="AS164" i="1"/>
  <c r="AR164" i="1"/>
  <c r="AS163" i="1"/>
  <c r="AR163" i="1"/>
  <c r="AS162" i="1"/>
  <c r="AR162" i="1"/>
  <c r="AS161" i="1"/>
  <c r="AR161" i="1"/>
  <c r="AS160" i="1"/>
  <c r="AR160" i="1"/>
  <c r="AS159" i="1"/>
  <c r="AR159" i="1"/>
  <c r="AS158" i="1"/>
  <c r="AR158" i="1"/>
  <c r="AS157" i="1"/>
  <c r="AR157" i="1"/>
  <c r="AS156" i="1"/>
  <c r="AR156" i="1"/>
  <c r="AS155" i="1"/>
  <c r="AR155" i="1"/>
  <c r="AS154" i="1"/>
  <c r="AR154" i="1"/>
  <c r="AS153" i="1"/>
  <c r="AR153" i="1"/>
  <c r="AS152" i="1"/>
  <c r="AR152" i="1"/>
  <c r="AS151" i="1"/>
  <c r="AR151" i="1"/>
  <c r="AS150" i="1"/>
  <c r="AR150" i="1"/>
  <c r="AS149" i="1"/>
  <c r="AR149" i="1"/>
  <c r="AS148" i="1"/>
  <c r="AR148" i="1"/>
  <c r="AS147" i="1"/>
  <c r="AR147" i="1"/>
  <c r="AS146" i="1"/>
  <c r="AR146" i="1"/>
  <c r="AS145" i="1"/>
  <c r="AR145" i="1"/>
  <c r="AS144" i="1"/>
  <c r="AR144" i="1"/>
  <c r="AS143" i="1"/>
  <c r="AR143" i="1"/>
  <c r="AS142" i="1"/>
  <c r="AR142" i="1"/>
  <c r="AS141" i="1"/>
  <c r="AR141" i="1"/>
  <c r="AS140" i="1"/>
  <c r="AR140" i="1"/>
  <c r="AS139" i="1"/>
  <c r="AR139" i="1"/>
  <c r="AS138" i="1"/>
  <c r="AR138" i="1"/>
  <c r="AS137" i="1"/>
  <c r="AR137" i="1"/>
  <c r="AS136" i="1"/>
  <c r="AR136" i="1"/>
  <c r="AS135" i="1"/>
  <c r="AR135" i="1"/>
  <c r="AS134" i="1"/>
  <c r="AR134" i="1"/>
  <c r="AS133" i="1"/>
  <c r="AR133" i="1"/>
  <c r="AS132" i="1"/>
  <c r="AR132" i="1"/>
  <c r="AS131" i="1"/>
  <c r="AR131" i="1"/>
  <c r="AS130" i="1"/>
  <c r="AR130" i="1"/>
  <c r="AS129" i="1"/>
  <c r="AR129" i="1"/>
  <c r="AS128" i="1"/>
  <c r="AR128" i="1"/>
  <c r="AS127" i="1"/>
  <c r="AR127" i="1"/>
  <c r="AS126" i="1"/>
  <c r="AR126" i="1"/>
  <c r="AS125" i="1"/>
  <c r="AR125" i="1"/>
  <c r="AS124" i="1"/>
  <c r="AR124" i="1"/>
  <c r="AS123" i="1"/>
  <c r="AR123" i="1"/>
  <c r="AS122" i="1"/>
  <c r="AR122" i="1"/>
  <c r="AS121" i="1"/>
  <c r="AR121" i="1"/>
  <c r="AS120" i="1"/>
  <c r="AR120" i="1"/>
  <c r="AS119" i="1"/>
  <c r="AR119" i="1"/>
  <c r="AS118" i="1"/>
  <c r="AR118" i="1"/>
  <c r="AS117" i="1"/>
  <c r="AR117" i="1"/>
  <c r="AS116" i="1"/>
  <c r="AR116" i="1"/>
  <c r="AS115" i="1"/>
  <c r="AR115" i="1"/>
  <c r="AS114" i="1"/>
  <c r="AR114" i="1"/>
  <c r="AS113" i="1"/>
  <c r="AR113" i="1"/>
  <c r="AS112" i="1"/>
  <c r="AR112" i="1"/>
  <c r="AS111" i="1"/>
  <c r="AR111" i="1"/>
  <c r="AS110" i="1"/>
  <c r="AR110" i="1"/>
  <c r="AS109" i="1"/>
  <c r="AR109" i="1"/>
  <c r="AS108" i="1"/>
  <c r="AR108" i="1"/>
  <c r="AS107" i="1"/>
  <c r="AR107" i="1"/>
  <c r="AS106" i="1"/>
  <c r="AR106" i="1"/>
  <c r="AS105" i="1"/>
  <c r="AR105" i="1"/>
  <c r="AS104" i="1"/>
  <c r="AR104" i="1"/>
  <c r="AS103" i="1"/>
  <c r="AR103" i="1"/>
  <c r="AS102" i="1"/>
  <c r="AR102" i="1"/>
  <c r="AS101" i="1"/>
  <c r="AR101" i="1"/>
  <c r="AS100" i="1"/>
  <c r="AR100" i="1"/>
  <c r="AS99" i="1"/>
  <c r="AR99" i="1"/>
  <c r="AS98" i="1"/>
  <c r="AR98" i="1"/>
  <c r="AS97" i="1"/>
  <c r="AR97" i="1"/>
  <c r="AS96" i="1"/>
  <c r="AR96" i="1"/>
  <c r="AS95" i="1"/>
  <c r="AR95" i="1"/>
  <c r="AS94" i="1"/>
  <c r="AR94" i="1"/>
  <c r="AS93" i="1"/>
  <c r="AR93" i="1"/>
  <c r="AS92" i="1"/>
  <c r="AR92" i="1"/>
  <c r="AS91" i="1"/>
  <c r="AR91" i="1"/>
  <c r="AS90" i="1"/>
  <c r="AR90" i="1"/>
  <c r="AS89" i="1"/>
  <c r="AR89" i="1"/>
  <c r="AS88" i="1"/>
  <c r="AR88" i="1"/>
  <c r="AS87" i="1"/>
  <c r="AR87" i="1"/>
  <c r="AS86" i="1"/>
  <c r="AR86" i="1"/>
  <c r="AS85" i="1"/>
  <c r="AR85" i="1"/>
  <c r="AS84" i="1"/>
  <c r="AR84" i="1"/>
  <c r="AS83" i="1"/>
  <c r="AR83" i="1"/>
  <c r="AS82" i="1"/>
  <c r="AR82" i="1"/>
  <c r="AS81" i="1"/>
  <c r="AR81" i="1"/>
  <c r="AS80" i="1"/>
  <c r="AR80" i="1"/>
  <c r="AS79" i="1"/>
  <c r="AR79" i="1"/>
  <c r="AS78" i="1"/>
  <c r="AR78" i="1"/>
  <c r="AS77" i="1"/>
  <c r="AR77" i="1"/>
  <c r="AS76" i="1"/>
  <c r="AR76" i="1"/>
  <c r="AS75" i="1"/>
  <c r="AR75" i="1"/>
  <c r="AS74" i="1"/>
  <c r="AR74" i="1"/>
  <c r="AS73" i="1"/>
  <c r="AR73" i="1"/>
  <c r="AS72" i="1"/>
  <c r="AR72" i="1"/>
  <c r="AS71" i="1"/>
  <c r="AR71" i="1"/>
  <c r="AS70" i="1"/>
  <c r="AR70" i="1"/>
  <c r="AS69" i="1"/>
  <c r="AR69" i="1"/>
  <c r="AS68" i="1"/>
  <c r="AR68" i="1"/>
  <c r="AS67" i="1"/>
  <c r="AR67" i="1"/>
  <c r="AS66" i="1"/>
  <c r="AR66" i="1"/>
  <c r="AS65" i="1"/>
  <c r="AR65" i="1"/>
  <c r="AS64" i="1"/>
  <c r="AR64" i="1"/>
  <c r="AS63" i="1"/>
  <c r="AR63" i="1"/>
  <c r="AS62" i="1"/>
  <c r="AR62" i="1"/>
  <c r="AS61" i="1"/>
  <c r="AR61" i="1"/>
  <c r="AS60" i="1"/>
  <c r="AR60" i="1"/>
  <c r="AS59" i="1"/>
  <c r="AR59" i="1"/>
  <c r="AS58" i="1"/>
  <c r="AR58" i="1"/>
  <c r="AS57" i="1"/>
  <c r="AR57" i="1"/>
  <c r="AS56" i="1"/>
  <c r="AR56" i="1"/>
  <c r="AS55" i="1"/>
  <c r="AR55" i="1"/>
  <c r="AS54" i="1"/>
  <c r="AR54" i="1"/>
  <c r="AS53" i="1"/>
  <c r="AR53" i="1"/>
  <c r="AS52" i="1"/>
  <c r="AR52" i="1"/>
  <c r="AS51" i="1"/>
  <c r="AR51" i="1"/>
  <c r="AS50" i="1"/>
  <c r="AR50" i="1"/>
  <c r="AS49" i="1"/>
  <c r="AR49" i="1"/>
  <c r="AS48" i="1"/>
  <c r="AR48" i="1"/>
  <c r="AS47" i="1"/>
  <c r="AR47" i="1"/>
  <c r="AS46" i="1"/>
  <c r="AR46" i="1"/>
  <c r="AS45" i="1"/>
  <c r="AR45" i="1"/>
  <c r="AS44" i="1"/>
  <c r="AR44" i="1"/>
  <c r="AS43" i="1"/>
  <c r="AR43" i="1"/>
  <c r="AS42" i="1"/>
  <c r="AR42" i="1"/>
  <c r="AS41" i="1"/>
  <c r="AR41" i="1"/>
  <c r="AS40" i="1"/>
  <c r="AR40" i="1"/>
  <c r="AS39" i="1"/>
  <c r="AR39" i="1"/>
  <c r="AS38" i="1"/>
  <c r="AR38" i="1"/>
  <c r="AS37" i="1"/>
  <c r="AR37" i="1"/>
  <c r="AS36" i="1"/>
  <c r="AR36" i="1"/>
  <c r="AS35" i="1"/>
  <c r="AR35" i="1"/>
  <c r="AS34" i="1"/>
  <c r="AR34" i="1"/>
  <c r="AS33" i="1"/>
  <c r="AR33" i="1"/>
  <c r="AS32" i="1"/>
  <c r="AR32" i="1"/>
  <c r="AS31" i="1"/>
  <c r="AR31" i="1"/>
  <c r="AS30" i="1"/>
  <c r="AR30" i="1"/>
  <c r="AS29" i="1"/>
  <c r="AR29" i="1"/>
  <c r="AS28" i="1"/>
  <c r="AR28" i="1"/>
  <c r="AS27" i="1"/>
  <c r="AR27" i="1"/>
  <c r="AS26" i="1"/>
  <c r="AR26" i="1"/>
  <c r="AS25" i="1"/>
  <c r="AR25" i="1"/>
  <c r="AS24" i="1"/>
  <c r="AR24" i="1"/>
  <c r="AS23" i="1"/>
  <c r="AR23" i="1"/>
  <c r="AS22" i="1"/>
  <c r="AR22" i="1"/>
  <c r="AS21" i="1"/>
  <c r="AR21" i="1"/>
  <c r="AS20" i="1"/>
  <c r="AR20" i="1"/>
  <c r="AS19" i="1"/>
  <c r="AR19" i="1"/>
  <c r="AS18" i="1"/>
  <c r="AR18" i="1"/>
  <c r="AS17" i="1"/>
  <c r="AR17" i="1"/>
  <c r="AS16" i="1"/>
  <c r="AR16" i="1"/>
  <c r="AS15" i="1"/>
  <c r="AR15" i="1"/>
  <c r="AS14" i="1"/>
  <c r="AR14" i="1"/>
  <c r="AS13" i="1"/>
  <c r="AR13" i="1"/>
  <c r="AS12" i="1"/>
  <c r="AR12" i="1"/>
  <c r="AS11" i="1"/>
  <c r="AR11" i="1"/>
  <c r="AS10" i="1"/>
  <c r="AR10" i="1"/>
  <c r="AS9" i="1"/>
  <c r="AR9" i="1"/>
  <c r="AS8" i="1"/>
  <c r="AR8" i="1"/>
  <c r="AS7" i="1"/>
  <c r="AR7" i="1"/>
  <c r="AS6" i="1"/>
  <c r="AS5" i="1"/>
  <c r="AS4" i="1"/>
  <c r="AS3" i="1"/>
  <c r="AS2" i="1"/>
  <c r="CF2" i="1"/>
  <c r="AR6" i="1"/>
  <c r="AR5" i="1"/>
  <c r="AR4" i="1"/>
  <c r="AR3" i="1"/>
  <c r="AR2" i="1"/>
  <c r="CF233" i="1"/>
  <c r="CF232" i="1"/>
  <c r="CF231" i="1"/>
  <c r="CF230" i="1"/>
  <c r="CF229" i="1"/>
  <c r="CF228" i="1"/>
  <c r="CF227" i="1"/>
  <c r="CF226" i="1"/>
  <c r="CF225" i="1"/>
  <c r="CF224" i="1"/>
  <c r="CF223" i="1"/>
  <c r="CF222" i="1"/>
  <c r="CF221" i="1"/>
  <c r="CF220" i="1"/>
  <c r="CF219" i="1"/>
  <c r="CF218" i="1"/>
  <c r="CF217" i="1"/>
  <c r="CF216" i="1"/>
  <c r="CF215" i="1"/>
  <c r="CF214" i="1"/>
  <c r="CF213" i="1"/>
  <c r="CF212" i="1"/>
  <c r="CF211" i="1"/>
  <c r="CF210" i="1"/>
  <c r="CF209" i="1"/>
  <c r="CF208" i="1"/>
  <c r="CF207" i="1"/>
  <c r="CF206" i="1"/>
  <c r="CF205" i="1"/>
  <c r="CF204" i="1"/>
  <c r="CF203" i="1"/>
  <c r="CF202" i="1"/>
  <c r="CF201" i="1"/>
  <c r="CF200" i="1"/>
  <c r="CF199" i="1"/>
  <c r="CF198" i="1"/>
  <c r="CF197" i="1"/>
  <c r="CF196" i="1"/>
  <c r="CF195" i="1"/>
  <c r="CF194" i="1"/>
  <c r="CF193" i="1"/>
  <c r="CF192" i="1"/>
  <c r="CF191" i="1"/>
  <c r="CF190" i="1"/>
  <c r="CF189" i="1"/>
  <c r="CF188" i="1"/>
  <c r="CF187" i="1"/>
  <c r="CF186" i="1"/>
  <c r="CF185" i="1"/>
  <c r="CF184" i="1"/>
  <c r="CF183" i="1"/>
  <c r="CF182" i="1"/>
  <c r="CF181" i="1"/>
  <c r="CF180" i="1"/>
  <c r="CF179" i="1"/>
  <c r="CF178" i="1"/>
  <c r="CF177" i="1"/>
  <c r="CF176" i="1"/>
  <c r="CF175" i="1"/>
  <c r="CF174" i="1"/>
  <c r="CF173" i="1"/>
  <c r="CF172" i="1"/>
  <c r="CF171" i="1"/>
  <c r="CF170" i="1"/>
  <c r="CF169" i="1"/>
  <c r="CF168" i="1"/>
  <c r="CF167" i="1"/>
  <c r="CF166" i="1"/>
  <c r="CF165" i="1"/>
  <c r="CF164" i="1"/>
  <c r="CF163" i="1"/>
  <c r="CF162" i="1"/>
  <c r="CF161" i="1"/>
  <c r="CF160" i="1"/>
  <c r="CF159" i="1"/>
  <c r="CF158" i="1"/>
  <c r="CF157" i="1"/>
  <c r="CF156" i="1"/>
  <c r="CF155" i="1"/>
  <c r="CF154" i="1"/>
  <c r="CF153" i="1"/>
  <c r="CF152" i="1"/>
  <c r="CF151" i="1"/>
  <c r="CF150" i="1"/>
  <c r="CF149" i="1"/>
  <c r="CF148" i="1"/>
  <c r="CF147" i="1"/>
  <c r="CF146" i="1"/>
  <c r="CF145" i="1"/>
  <c r="CF144" i="1"/>
  <c r="CF143" i="1"/>
  <c r="CF142" i="1"/>
  <c r="CF141" i="1"/>
  <c r="CF138" i="1"/>
  <c r="CF137" i="1"/>
  <c r="CF136" i="1"/>
  <c r="CF135" i="1"/>
  <c r="CF134" i="1"/>
  <c r="CF133" i="1"/>
  <c r="CF132" i="1"/>
  <c r="CF131" i="1"/>
  <c r="CF130" i="1"/>
  <c r="CF129" i="1"/>
  <c r="CF128" i="1"/>
  <c r="CF127" i="1"/>
  <c r="CF126" i="1"/>
  <c r="CF125" i="1"/>
  <c r="CF124" i="1"/>
  <c r="CF123" i="1"/>
  <c r="CF122" i="1"/>
  <c r="CF121" i="1"/>
  <c r="CF120" i="1"/>
  <c r="CF119" i="1"/>
  <c r="CF118" i="1"/>
  <c r="CF117" i="1"/>
  <c r="CF116" i="1"/>
  <c r="CF115" i="1"/>
  <c r="CF114" i="1"/>
  <c r="CF113" i="1"/>
  <c r="CF112" i="1"/>
  <c r="CF111" i="1"/>
  <c r="CF110" i="1"/>
  <c r="CF109" i="1"/>
  <c r="CF108" i="1"/>
  <c r="CF107" i="1"/>
  <c r="CF106" i="1"/>
  <c r="CF105" i="1"/>
  <c r="CF104" i="1"/>
  <c r="CF103" i="1"/>
  <c r="CF102" i="1"/>
  <c r="CF101" i="1"/>
  <c r="CF100" i="1"/>
  <c r="CF99" i="1"/>
  <c r="CF98" i="1"/>
  <c r="CF97" i="1"/>
  <c r="CF96" i="1"/>
  <c r="CF95" i="1"/>
  <c r="CF94" i="1"/>
  <c r="CF93" i="1"/>
  <c r="CF92" i="1"/>
  <c r="CF91" i="1"/>
  <c r="CF90" i="1"/>
  <c r="CF89" i="1"/>
  <c r="CF88" i="1"/>
  <c r="CF87" i="1"/>
  <c r="CF86" i="1"/>
  <c r="CF85" i="1"/>
  <c r="CF84" i="1"/>
  <c r="CF83" i="1"/>
  <c r="CF82" i="1"/>
  <c r="CF81" i="1"/>
  <c r="CF80" i="1"/>
  <c r="CF79" i="1"/>
  <c r="CF78" i="1"/>
  <c r="CF77" i="1"/>
  <c r="CF76" i="1"/>
  <c r="CF75" i="1"/>
  <c r="CF74" i="1"/>
  <c r="CF73" i="1"/>
  <c r="CF72" i="1"/>
  <c r="CF71" i="1"/>
  <c r="CF70" i="1"/>
  <c r="CF69" i="1"/>
  <c r="CF68" i="1"/>
  <c r="CF67" i="1"/>
  <c r="CF66" i="1"/>
  <c r="CF65" i="1"/>
  <c r="CF64" i="1"/>
  <c r="CF63" i="1"/>
  <c r="CF62" i="1"/>
  <c r="CF61" i="1"/>
  <c r="CF60" i="1"/>
  <c r="CF59" i="1"/>
  <c r="CF58" i="1"/>
  <c r="CF57" i="1"/>
  <c r="CF56" i="1"/>
  <c r="CF55" i="1"/>
  <c r="CF54" i="1"/>
  <c r="CF53" i="1"/>
  <c r="CF52" i="1"/>
  <c r="CF51" i="1"/>
  <c r="CF50" i="1"/>
  <c r="CF49" i="1"/>
  <c r="CF48" i="1"/>
  <c r="CF47" i="1"/>
  <c r="CF46" i="1"/>
  <c r="CF45" i="1"/>
  <c r="CF44" i="1"/>
  <c r="CF43" i="1"/>
  <c r="CF42" i="1"/>
  <c r="CF41" i="1"/>
  <c r="CF40" i="1"/>
  <c r="CF39" i="1"/>
  <c r="CF38" i="1"/>
  <c r="CF37" i="1"/>
  <c r="CF36" i="1"/>
  <c r="CF35" i="1"/>
  <c r="CF34" i="1"/>
  <c r="CF33" i="1"/>
  <c r="CF32" i="1"/>
  <c r="CF31" i="1"/>
  <c r="CF30" i="1"/>
  <c r="CF29" i="1"/>
  <c r="CF28" i="1"/>
  <c r="CF27" i="1"/>
  <c r="CF26" i="1"/>
  <c r="CF25" i="1"/>
  <c r="CF24" i="1"/>
  <c r="CF23" i="1"/>
  <c r="CF22" i="1"/>
  <c r="CF21" i="1"/>
  <c r="CF20" i="1"/>
  <c r="CF19" i="1"/>
  <c r="CF18" i="1"/>
  <c r="CF17" i="1"/>
  <c r="CF16" i="1"/>
  <c r="CF15" i="1"/>
  <c r="CF14" i="1"/>
  <c r="CF13" i="1"/>
  <c r="CF12" i="1"/>
  <c r="CF11" i="1"/>
  <c r="CF10" i="1"/>
  <c r="CF9" i="1"/>
  <c r="CF8" i="1"/>
  <c r="CF7" i="1"/>
  <c r="CF5" i="1"/>
  <c r="CF4" i="1"/>
  <c r="CF3" i="1"/>
  <c r="AG297" i="1"/>
  <c r="AG296" i="1"/>
  <c r="AG295" i="1"/>
  <c r="AG294" i="1"/>
  <c r="AG293" i="1"/>
  <c r="AG292" i="1"/>
  <c r="AG291" i="1"/>
  <c r="AG290" i="1"/>
  <c r="AG289" i="1"/>
  <c r="AG288" i="1"/>
  <c r="AG287" i="1"/>
  <c r="AG286" i="1"/>
  <c r="AG285" i="1"/>
  <c r="AG284" i="1"/>
  <c r="AG283" i="1"/>
  <c r="AG282" i="1"/>
  <c r="AG281" i="1"/>
  <c r="AG280" i="1"/>
  <c r="AG279" i="1"/>
  <c r="AG278" i="1"/>
  <c r="AG277" i="1"/>
  <c r="AG276" i="1"/>
  <c r="AG275" i="1"/>
  <c r="AG274" i="1"/>
  <c r="AG273" i="1"/>
  <c r="AG272" i="1"/>
  <c r="AG271" i="1"/>
  <c r="AG270" i="1"/>
  <c r="AG269" i="1"/>
  <c r="AG268" i="1"/>
  <c r="AG267" i="1"/>
  <c r="AG266" i="1"/>
  <c r="AG265" i="1"/>
  <c r="AG264" i="1"/>
  <c r="AG263" i="1"/>
  <c r="AG262" i="1"/>
  <c r="AG261" i="1"/>
  <c r="AG260" i="1"/>
  <c r="AG259" i="1"/>
  <c r="AG258" i="1"/>
  <c r="AG257" i="1"/>
  <c r="AG256" i="1"/>
  <c r="AG255" i="1"/>
  <c r="AG254" i="1"/>
  <c r="AG253" i="1"/>
  <c r="AG252" i="1"/>
  <c r="AG251" i="1"/>
  <c r="AG250" i="1"/>
  <c r="AG249" i="1"/>
  <c r="AG248" i="1"/>
  <c r="AG247" i="1"/>
  <c r="AG246" i="1"/>
  <c r="AG245" i="1"/>
  <c r="AG244" i="1"/>
  <c r="AG243" i="1"/>
  <c r="AG242" i="1"/>
  <c r="AG241" i="1"/>
  <c r="AG240" i="1"/>
  <c r="AG239" i="1"/>
  <c r="AG238" i="1"/>
  <c r="AG237" i="1"/>
  <c r="AG236" i="1"/>
  <c r="AG235" i="1"/>
  <c r="AG234" i="1"/>
  <c r="AG233" i="1"/>
  <c r="AG232" i="1"/>
  <c r="AG231" i="1"/>
  <c r="AG230" i="1"/>
  <c r="AG229" i="1"/>
  <c r="AG228" i="1"/>
  <c r="AG227" i="1"/>
  <c r="AG226" i="1"/>
  <c r="AG225" i="1"/>
  <c r="AG224" i="1"/>
  <c r="AG223" i="1"/>
  <c r="AG222" i="1"/>
  <c r="AG221" i="1"/>
  <c r="AG220" i="1"/>
  <c r="AG219" i="1"/>
  <c r="AG218" i="1"/>
  <c r="AG217" i="1"/>
  <c r="AG216" i="1"/>
  <c r="AG215" i="1"/>
  <c r="AG214" i="1"/>
  <c r="AG213" i="1"/>
  <c r="AG212" i="1"/>
  <c r="AG211" i="1"/>
  <c r="AG210" i="1"/>
  <c r="AG209" i="1"/>
  <c r="AG208" i="1"/>
  <c r="AG207" i="1"/>
  <c r="AG206" i="1"/>
  <c r="AG205" i="1"/>
  <c r="AG204" i="1"/>
  <c r="AG203" i="1"/>
  <c r="AG202" i="1"/>
  <c r="AG201" i="1"/>
  <c r="AG200" i="1"/>
  <c r="AG199" i="1"/>
  <c r="AG198" i="1"/>
  <c r="AG197" i="1"/>
  <c r="AG196" i="1"/>
  <c r="AG195" i="1"/>
  <c r="AG194" i="1"/>
  <c r="AG193" i="1"/>
  <c r="AG192" i="1"/>
  <c r="AG191" i="1"/>
  <c r="AG190" i="1"/>
  <c r="AG189" i="1"/>
  <c r="AG188" i="1"/>
  <c r="AG187" i="1"/>
  <c r="AG186" i="1"/>
  <c r="AG185" i="1"/>
  <c r="AG184" i="1"/>
  <c r="AG183" i="1"/>
  <c r="AG182" i="1"/>
  <c r="AG181" i="1"/>
  <c r="AG180" i="1"/>
  <c r="AG179" i="1"/>
  <c r="AG178" i="1"/>
  <c r="AG177" i="1"/>
  <c r="AG176" i="1"/>
  <c r="AG175" i="1"/>
  <c r="AG174" i="1"/>
  <c r="AG173" i="1"/>
  <c r="AG172" i="1"/>
  <c r="AG171" i="1"/>
  <c r="AG170" i="1"/>
  <c r="AG169" i="1"/>
  <c r="AG168" i="1"/>
  <c r="AG167" i="1"/>
  <c r="AG166" i="1"/>
  <c r="AG165" i="1"/>
  <c r="AG164" i="1"/>
  <c r="AG163" i="1"/>
  <c r="AG162" i="1"/>
  <c r="AG161" i="1"/>
  <c r="AG160" i="1"/>
  <c r="AG159" i="1"/>
  <c r="AG158" i="1"/>
  <c r="AG157" i="1"/>
  <c r="AG156" i="1"/>
  <c r="AG155" i="1"/>
  <c r="AG154" i="1"/>
  <c r="AG153" i="1"/>
  <c r="AG152" i="1"/>
  <c r="AG151" i="1"/>
  <c r="AG150" i="1"/>
  <c r="AG149" i="1"/>
  <c r="AG148" i="1"/>
  <c r="AG147" i="1"/>
  <c r="AG146" i="1"/>
  <c r="AG145" i="1"/>
  <c r="AG144" i="1"/>
  <c r="AG143" i="1"/>
  <c r="AG142" i="1"/>
  <c r="AG141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13" i="1"/>
  <c r="AG112" i="1"/>
  <c r="AG111" i="1"/>
  <c r="AG110" i="1"/>
  <c r="AG109" i="1"/>
  <c r="AG108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  <c r="DJ167" i="1"/>
  <c r="DJ166" i="1"/>
  <c r="DJ165" i="1"/>
  <c r="DJ153" i="1"/>
  <c r="DJ152" i="1"/>
  <c r="DJ151" i="1"/>
  <c r="DJ146" i="1"/>
  <c r="DJ145" i="1"/>
  <c r="DJ144" i="1"/>
  <c r="DJ143" i="1"/>
  <c r="DJ5" i="1"/>
  <c r="BD140" i="1"/>
  <c r="BF140" i="1" s="1"/>
  <c r="CB140" i="1" s="1"/>
  <c r="BD139" i="1"/>
  <c r="BF139" i="1" s="1"/>
  <c r="CB139" i="1" s="1"/>
  <c r="BD6" i="1"/>
  <c r="BF6" i="1" s="1"/>
  <c r="CB6" i="1" s="1"/>
  <c r="P7" i="12" l="1"/>
  <c r="P9" i="12"/>
  <c r="DK143" i="1"/>
  <c r="EN143" i="1"/>
  <c r="ED143" i="1"/>
  <c r="DT143" i="1"/>
  <c r="DK151" i="1"/>
  <c r="EN151" i="1"/>
  <c r="ED151" i="1"/>
  <c r="DT151" i="1"/>
  <c r="DK153" i="1"/>
  <c r="EN153" i="1"/>
  <c r="ED153" i="1"/>
  <c r="DT153" i="1"/>
  <c r="DK166" i="1"/>
  <c r="EN166" i="1"/>
  <c r="ED166" i="1"/>
  <c r="DT166" i="1"/>
  <c r="DK5" i="1"/>
  <c r="EN5" i="1"/>
  <c r="ED5" i="1"/>
  <c r="DT5" i="1"/>
  <c r="DK144" i="1"/>
  <c r="EN144" i="1"/>
  <c r="ED144" i="1"/>
  <c r="DT144" i="1"/>
  <c r="DK146" i="1"/>
  <c r="EN146" i="1"/>
  <c r="ED146" i="1"/>
  <c r="DT146" i="1"/>
  <c r="DK152" i="1"/>
  <c r="EN152" i="1"/>
  <c r="ED152" i="1"/>
  <c r="DT152" i="1"/>
  <c r="DK165" i="1"/>
  <c r="EN165" i="1"/>
  <c r="ED165" i="1"/>
  <c r="DT165" i="1"/>
  <c r="DK167" i="1"/>
  <c r="EN167" i="1"/>
  <c r="ED167" i="1"/>
  <c r="DT167" i="1"/>
  <c r="DK145" i="1"/>
  <c r="EN145" i="1"/>
  <c r="ED145" i="1"/>
  <c r="DT145" i="1"/>
  <c r="CF6" i="1"/>
  <c r="CF139" i="1"/>
  <c r="CC6" i="1"/>
  <c r="CC139" i="1"/>
  <c r="CC140" i="1"/>
  <c r="CH6" i="1"/>
  <c r="CH139" i="1"/>
  <c r="CH140" i="1"/>
  <c r="CF140" i="1"/>
  <c r="L22" i="13"/>
  <c r="L23" i="13"/>
  <c r="N23" i="13" s="1"/>
  <c r="L24" i="13"/>
  <c r="N24" i="13" s="1"/>
  <c r="L25" i="13"/>
  <c r="N25" i="13" s="1"/>
  <c r="L26" i="13"/>
  <c r="N26" i="13" s="1"/>
  <c r="L27" i="13"/>
  <c r="N27" i="13" s="1"/>
  <c r="L28" i="13"/>
  <c r="N28" i="13" s="1"/>
  <c r="U14" i="13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EO145" i="1" l="1"/>
  <c r="EE145" i="1"/>
  <c r="DU145" i="1"/>
  <c r="DL167" i="1"/>
  <c r="EO167" i="1"/>
  <c r="EE167" i="1"/>
  <c r="DU167" i="1"/>
  <c r="EO165" i="1"/>
  <c r="EE165" i="1"/>
  <c r="DU165" i="1"/>
  <c r="EO152" i="1"/>
  <c r="EE152" i="1"/>
  <c r="DU152" i="1"/>
  <c r="DL146" i="1"/>
  <c r="EO146" i="1"/>
  <c r="EE146" i="1"/>
  <c r="DU146" i="1"/>
  <c r="DL144" i="1"/>
  <c r="EO144" i="1"/>
  <c r="EE144" i="1"/>
  <c r="DU144" i="1"/>
  <c r="DL5" i="1"/>
  <c r="EO5" i="1"/>
  <c r="EE5" i="1"/>
  <c r="DU5" i="1"/>
  <c r="EO166" i="1"/>
  <c r="EE166" i="1"/>
  <c r="DU166" i="1"/>
  <c r="EO153" i="1"/>
  <c r="EE153" i="1"/>
  <c r="DU153" i="1"/>
  <c r="EO151" i="1"/>
  <c r="EE151" i="1"/>
  <c r="DU151" i="1"/>
  <c r="DL143" i="1"/>
  <c r="EO143" i="1"/>
  <c r="EE143" i="1"/>
  <c r="DU143" i="1"/>
  <c r="Q29" i="13"/>
  <c r="S22" i="13"/>
  <c r="N22" i="13"/>
  <c r="N29" i="13" s="1"/>
  <c r="L29" i="13"/>
  <c r="EX234" i="1"/>
  <c r="BO234" i="1" s="1"/>
  <c r="BP234" i="1" s="1"/>
  <c r="BQ234" i="1" s="1"/>
  <c r="EX233" i="1"/>
  <c r="BO233" i="1" s="1"/>
  <c r="BP233" i="1" s="1"/>
  <c r="BQ233" i="1" s="1"/>
  <c r="EX232" i="1"/>
  <c r="BO232" i="1" s="1"/>
  <c r="BP232" i="1" s="1"/>
  <c r="BQ232" i="1" s="1"/>
  <c r="EX231" i="1"/>
  <c r="BO231" i="1" s="1"/>
  <c r="BP231" i="1" s="1"/>
  <c r="BQ231" i="1" s="1"/>
  <c r="EX230" i="1"/>
  <c r="BO230" i="1" s="1"/>
  <c r="BP230" i="1" s="1"/>
  <c r="BQ230" i="1" s="1"/>
  <c r="EX229" i="1"/>
  <c r="BO229" i="1" s="1"/>
  <c r="BP229" i="1" s="1"/>
  <c r="BQ229" i="1" s="1"/>
  <c r="EX228" i="1"/>
  <c r="BO228" i="1" s="1"/>
  <c r="BP228" i="1" s="1"/>
  <c r="BQ228" i="1" s="1"/>
  <c r="EX227" i="1"/>
  <c r="BO227" i="1" s="1"/>
  <c r="BP227" i="1" s="1"/>
  <c r="BQ227" i="1" s="1"/>
  <c r="EX226" i="1"/>
  <c r="BO226" i="1" s="1"/>
  <c r="BP226" i="1" s="1"/>
  <c r="BQ226" i="1" s="1"/>
  <c r="EX225" i="1"/>
  <c r="BO225" i="1" s="1"/>
  <c r="BP225" i="1" s="1"/>
  <c r="BQ225" i="1" s="1"/>
  <c r="EX224" i="1"/>
  <c r="BO224" i="1" s="1"/>
  <c r="BP224" i="1" s="1"/>
  <c r="BQ224" i="1" s="1"/>
  <c r="EX223" i="1"/>
  <c r="BO223" i="1" s="1"/>
  <c r="BP223" i="1" s="1"/>
  <c r="BQ223" i="1" s="1"/>
  <c r="EX222" i="1"/>
  <c r="BO222" i="1" s="1"/>
  <c r="BP222" i="1" s="1"/>
  <c r="BQ222" i="1" s="1"/>
  <c r="EX221" i="1"/>
  <c r="BO221" i="1" s="1"/>
  <c r="BP221" i="1" s="1"/>
  <c r="BQ221" i="1" s="1"/>
  <c r="EX220" i="1"/>
  <c r="BO220" i="1" s="1"/>
  <c r="BP220" i="1" s="1"/>
  <c r="BQ220" i="1" s="1"/>
  <c r="EX219" i="1"/>
  <c r="BO219" i="1" s="1"/>
  <c r="BP219" i="1" s="1"/>
  <c r="BQ219" i="1" s="1"/>
  <c r="EX218" i="1"/>
  <c r="BO218" i="1" s="1"/>
  <c r="BP218" i="1" s="1"/>
  <c r="BQ218" i="1" s="1"/>
  <c r="EX217" i="1"/>
  <c r="BO217" i="1" s="1"/>
  <c r="BP217" i="1" s="1"/>
  <c r="BQ217" i="1" s="1"/>
  <c r="EX216" i="1"/>
  <c r="BO216" i="1" s="1"/>
  <c r="BP216" i="1" s="1"/>
  <c r="BQ216" i="1" s="1"/>
  <c r="EX215" i="1"/>
  <c r="BO215" i="1" s="1"/>
  <c r="BP215" i="1" s="1"/>
  <c r="BQ215" i="1" s="1"/>
  <c r="EX214" i="1"/>
  <c r="BO214" i="1" s="1"/>
  <c r="BP214" i="1" s="1"/>
  <c r="BQ214" i="1" s="1"/>
  <c r="EX213" i="1"/>
  <c r="BO213" i="1" s="1"/>
  <c r="BP213" i="1" s="1"/>
  <c r="BQ213" i="1" s="1"/>
  <c r="EX212" i="1"/>
  <c r="BO212" i="1" s="1"/>
  <c r="BP212" i="1" s="1"/>
  <c r="BQ212" i="1" s="1"/>
  <c r="EX211" i="1"/>
  <c r="BO211" i="1" s="1"/>
  <c r="BP211" i="1" s="1"/>
  <c r="BQ211" i="1" s="1"/>
  <c r="EX210" i="1"/>
  <c r="BO210" i="1" s="1"/>
  <c r="BP210" i="1" s="1"/>
  <c r="BQ210" i="1" s="1"/>
  <c r="EX209" i="1"/>
  <c r="BO209" i="1" s="1"/>
  <c r="BP209" i="1" s="1"/>
  <c r="BQ209" i="1" s="1"/>
  <c r="EX208" i="1"/>
  <c r="BO208" i="1" s="1"/>
  <c r="BP208" i="1" s="1"/>
  <c r="BQ208" i="1" s="1"/>
  <c r="EX207" i="1"/>
  <c r="BO207" i="1" s="1"/>
  <c r="BP207" i="1" s="1"/>
  <c r="BQ207" i="1" s="1"/>
  <c r="EX206" i="1"/>
  <c r="BO206" i="1" s="1"/>
  <c r="BP206" i="1" s="1"/>
  <c r="BQ206" i="1" s="1"/>
  <c r="EX205" i="1"/>
  <c r="BO205" i="1" s="1"/>
  <c r="BP205" i="1" s="1"/>
  <c r="BQ205" i="1" s="1"/>
  <c r="EX204" i="1"/>
  <c r="BO204" i="1" s="1"/>
  <c r="BP204" i="1" s="1"/>
  <c r="BQ204" i="1" s="1"/>
  <c r="EX203" i="1"/>
  <c r="BO203" i="1" s="1"/>
  <c r="BP203" i="1" s="1"/>
  <c r="BQ203" i="1" s="1"/>
  <c r="EX202" i="1"/>
  <c r="BO202" i="1" s="1"/>
  <c r="BP202" i="1" s="1"/>
  <c r="BQ202" i="1" s="1"/>
  <c r="EX201" i="1"/>
  <c r="BO201" i="1" s="1"/>
  <c r="BP201" i="1" s="1"/>
  <c r="BQ201" i="1" s="1"/>
  <c r="EX200" i="1"/>
  <c r="BO200" i="1" s="1"/>
  <c r="BP200" i="1" s="1"/>
  <c r="BQ200" i="1" s="1"/>
  <c r="EX199" i="1"/>
  <c r="BO199" i="1" s="1"/>
  <c r="BP199" i="1" s="1"/>
  <c r="BQ199" i="1" s="1"/>
  <c r="EX198" i="1"/>
  <c r="BO198" i="1" s="1"/>
  <c r="BP198" i="1" s="1"/>
  <c r="BQ198" i="1" s="1"/>
  <c r="EX197" i="1"/>
  <c r="BO197" i="1" s="1"/>
  <c r="BP197" i="1" s="1"/>
  <c r="BQ197" i="1" s="1"/>
  <c r="EX196" i="1"/>
  <c r="BO196" i="1" s="1"/>
  <c r="BP196" i="1" s="1"/>
  <c r="BQ196" i="1" s="1"/>
  <c r="EX195" i="1"/>
  <c r="BO195" i="1" s="1"/>
  <c r="BP195" i="1" s="1"/>
  <c r="BQ195" i="1" s="1"/>
  <c r="EX194" i="1"/>
  <c r="BO194" i="1" s="1"/>
  <c r="BP194" i="1" s="1"/>
  <c r="BQ194" i="1" s="1"/>
  <c r="EX193" i="1"/>
  <c r="BO193" i="1" s="1"/>
  <c r="BP193" i="1" s="1"/>
  <c r="BQ193" i="1" s="1"/>
  <c r="EX192" i="1"/>
  <c r="BO192" i="1" s="1"/>
  <c r="BP192" i="1" s="1"/>
  <c r="BQ192" i="1" s="1"/>
  <c r="EX191" i="1"/>
  <c r="BO191" i="1" s="1"/>
  <c r="BP191" i="1" s="1"/>
  <c r="BQ191" i="1" s="1"/>
  <c r="EX190" i="1"/>
  <c r="BO190" i="1" s="1"/>
  <c r="BP190" i="1" s="1"/>
  <c r="BQ190" i="1" s="1"/>
  <c r="EX189" i="1"/>
  <c r="BO189" i="1" s="1"/>
  <c r="BP189" i="1" s="1"/>
  <c r="BQ189" i="1" s="1"/>
  <c r="EX188" i="1"/>
  <c r="BO188" i="1" s="1"/>
  <c r="BP188" i="1" s="1"/>
  <c r="BQ188" i="1" s="1"/>
  <c r="EX187" i="1"/>
  <c r="BO187" i="1" s="1"/>
  <c r="BP187" i="1" s="1"/>
  <c r="BQ187" i="1" s="1"/>
  <c r="EX186" i="1"/>
  <c r="BO186" i="1" s="1"/>
  <c r="BP186" i="1" s="1"/>
  <c r="BQ186" i="1" s="1"/>
  <c r="EX185" i="1"/>
  <c r="BO185" i="1" s="1"/>
  <c r="BP185" i="1" s="1"/>
  <c r="BQ185" i="1" s="1"/>
  <c r="EX184" i="1"/>
  <c r="BO184" i="1" s="1"/>
  <c r="BP184" i="1" s="1"/>
  <c r="BQ184" i="1" s="1"/>
  <c r="EX183" i="1"/>
  <c r="BO183" i="1" s="1"/>
  <c r="BP183" i="1" s="1"/>
  <c r="BQ183" i="1" s="1"/>
  <c r="EX182" i="1"/>
  <c r="BO182" i="1" s="1"/>
  <c r="BP182" i="1" s="1"/>
  <c r="BQ182" i="1" s="1"/>
  <c r="EX181" i="1"/>
  <c r="BO181" i="1" s="1"/>
  <c r="BP181" i="1" s="1"/>
  <c r="BQ181" i="1" s="1"/>
  <c r="EX180" i="1"/>
  <c r="BO180" i="1" s="1"/>
  <c r="BP180" i="1" s="1"/>
  <c r="BQ180" i="1" s="1"/>
  <c r="EX179" i="1"/>
  <c r="BO179" i="1" s="1"/>
  <c r="BP179" i="1" s="1"/>
  <c r="BQ179" i="1" s="1"/>
  <c r="EX178" i="1"/>
  <c r="BO178" i="1" s="1"/>
  <c r="BP178" i="1" s="1"/>
  <c r="BQ178" i="1" s="1"/>
  <c r="EX177" i="1"/>
  <c r="BO177" i="1" s="1"/>
  <c r="BP177" i="1" s="1"/>
  <c r="BQ177" i="1" s="1"/>
  <c r="EX176" i="1"/>
  <c r="BO176" i="1" s="1"/>
  <c r="BP176" i="1" s="1"/>
  <c r="BQ176" i="1" s="1"/>
  <c r="EX175" i="1"/>
  <c r="BO175" i="1" s="1"/>
  <c r="BP175" i="1" s="1"/>
  <c r="BQ175" i="1" s="1"/>
  <c r="EX174" i="1"/>
  <c r="BO174" i="1" s="1"/>
  <c r="BP174" i="1" s="1"/>
  <c r="BQ174" i="1" s="1"/>
  <c r="EX173" i="1"/>
  <c r="BO173" i="1" s="1"/>
  <c r="BP173" i="1" s="1"/>
  <c r="BQ173" i="1" s="1"/>
  <c r="EX172" i="1"/>
  <c r="BO172" i="1" s="1"/>
  <c r="BP172" i="1" s="1"/>
  <c r="BQ172" i="1" s="1"/>
  <c r="EX171" i="1"/>
  <c r="BO171" i="1" s="1"/>
  <c r="BP171" i="1" s="1"/>
  <c r="BQ171" i="1" s="1"/>
  <c r="EX170" i="1"/>
  <c r="BO170" i="1" s="1"/>
  <c r="BP170" i="1" s="1"/>
  <c r="BQ170" i="1" s="1"/>
  <c r="EX169" i="1"/>
  <c r="BO169" i="1" s="1"/>
  <c r="BP169" i="1" s="1"/>
  <c r="BQ169" i="1" s="1"/>
  <c r="EX168" i="1"/>
  <c r="BO168" i="1" s="1"/>
  <c r="BP168" i="1" s="1"/>
  <c r="BQ168" i="1" s="1"/>
  <c r="EX167" i="1"/>
  <c r="BO167" i="1" s="1"/>
  <c r="BP167" i="1" s="1"/>
  <c r="BQ167" i="1" s="1"/>
  <c r="EX166" i="1"/>
  <c r="BO166" i="1" s="1"/>
  <c r="BP166" i="1" s="1"/>
  <c r="BQ166" i="1" s="1"/>
  <c r="EX165" i="1"/>
  <c r="BO165" i="1" s="1"/>
  <c r="BP165" i="1" s="1"/>
  <c r="BQ165" i="1" s="1"/>
  <c r="EX164" i="1"/>
  <c r="BO164" i="1" s="1"/>
  <c r="BP164" i="1" s="1"/>
  <c r="BQ164" i="1" s="1"/>
  <c r="EX163" i="1"/>
  <c r="BO163" i="1" s="1"/>
  <c r="BP163" i="1" s="1"/>
  <c r="BQ163" i="1" s="1"/>
  <c r="EX162" i="1"/>
  <c r="BO162" i="1" s="1"/>
  <c r="BP162" i="1" s="1"/>
  <c r="BQ162" i="1" s="1"/>
  <c r="EX161" i="1"/>
  <c r="BO161" i="1" s="1"/>
  <c r="BP161" i="1" s="1"/>
  <c r="BQ161" i="1" s="1"/>
  <c r="EX160" i="1"/>
  <c r="BO160" i="1" s="1"/>
  <c r="BP160" i="1" s="1"/>
  <c r="BQ160" i="1" s="1"/>
  <c r="EX159" i="1"/>
  <c r="BO159" i="1" s="1"/>
  <c r="BP159" i="1" s="1"/>
  <c r="BQ159" i="1" s="1"/>
  <c r="EX158" i="1"/>
  <c r="BO158" i="1" s="1"/>
  <c r="BP158" i="1" s="1"/>
  <c r="BQ158" i="1" s="1"/>
  <c r="EX157" i="1"/>
  <c r="BO157" i="1" s="1"/>
  <c r="BP157" i="1" s="1"/>
  <c r="BQ157" i="1" s="1"/>
  <c r="EX156" i="1"/>
  <c r="BO156" i="1" s="1"/>
  <c r="BP156" i="1" s="1"/>
  <c r="BQ156" i="1" s="1"/>
  <c r="EX155" i="1"/>
  <c r="BO155" i="1" s="1"/>
  <c r="BP155" i="1" s="1"/>
  <c r="BQ155" i="1" s="1"/>
  <c r="EX154" i="1"/>
  <c r="BO154" i="1" s="1"/>
  <c r="BP154" i="1" s="1"/>
  <c r="BQ154" i="1" s="1"/>
  <c r="EX153" i="1"/>
  <c r="BO153" i="1" s="1"/>
  <c r="BP153" i="1" s="1"/>
  <c r="BQ153" i="1" s="1"/>
  <c r="EX152" i="1"/>
  <c r="BO152" i="1" s="1"/>
  <c r="BP152" i="1" s="1"/>
  <c r="BQ152" i="1" s="1"/>
  <c r="EX151" i="1"/>
  <c r="BO151" i="1" s="1"/>
  <c r="BP151" i="1" s="1"/>
  <c r="BQ151" i="1" s="1"/>
  <c r="EX150" i="1"/>
  <c r="BO150" i="1" s="1"/>
  <c r="BP150" i="1" s="1"/>
  <c r="BQ150" i="1" s="1"/>
  <c r="EX149" i="1"/>
  <c r="BO149" i="1" s="1"/>
  <c r="BP149" i="1" s="1"/>
  <c r="BQ149" i="1" s="1"/>
  <c r="EX148" i="1"/>
  <c r="BO148" i="1" s="1"/>
  <c r="BP148" i="1" s="1"/>
  <c r="BQ148" i="1" s="1"/>
  <c r="EX147" i="1"/>
  <c r="BO147" i="1" s="1"/>
  <c r="BP147" i="1" s="1"/>
  <c r="BQ147" i="1" s="1"/>
  <c r="EX146" i="1"/>
  <c r="BO146" i="1" s="1"/>
  <c r="BP146" i="1" s="1"/>
  <c r="BQ146" i="1" s="1"/>
  <c r="EX145" i="1"/>
  <c r="BO145" i="1" s="1"/>
  <c r="BP145" i="1" s="1"/>
  <c r="BQ145" i="1" s="1"/>
  <c r="EX144" i="1"/>
  <c r="BO144" i="1" s="1"/>
  <c r="BP144" i="1" s="1"/>
  <c r="BQ144" i="1" s="1"/>
  <c r="EX143" i="1"/>
  <c r="BO143" i="1" s="1"/>
  <c r="BP143" i="1" s="1"/>
  <c r="BQ143" i="1" s="1"/>
  <c r="EX142" i="1"/>
  <c r="BO142" i="1" s="1"/>
  <c r="BP142" i="1" s="1"/>
  <c r="BQ142" i="1" s="1"/>
  <c r="EX141" i="1"/>
  <c r="BO141" i="1" s="1"/>
  <c r="BP141" i="1" s="1"/>
  <c r="BQ141" i="1" s="1"/>
  <c r="EX140" i="1"/>
  <c r="BO140" i="1" s="1"/>
  <c r="BP140" i="1" s="1"/>
  <c r="BQ140" i="1" s="1"/>
  <c r="EX139" i="1"/>
  <c r="BO139" i="1" s="1"/>
  <c r="BP139" i="1" s="1"/>
  <c r="BQ139" i="1" s="1"/>
  <c r="EX138" i="1"/>
  <c r="BO138" i="1" s="1"/>
  <c r="BP138" i="1" s="1"/>
  <c r="BQ138" i="1" s="1"/>
  <c r="EX137" i="1"/>
  <c r="BO137" i="1" s="1"/>
  <c r="BP137" i="1" s="1"/>
  <c r="BQ137" i="1" s="1"/>
  <c r="EX136" i="1"/>
  <c r="BO136" i="1" s="1"/>
  <c r="BP136" i="1" s="1"/>
  <c r="BQ136" i="1" s="1"/>
  <c r="EX135" i="1"/>
  <c r="BO135" i="1" s="1"/>
  <c r="BP135" i="1" s="1"/>
  <c r="BQ135" i="1" s="1"/>
  <c r="EX134" i="1"/>
  <c r="BO134" i="1" s="1"/>
  <c r="BP134" i="1" s="1"/>
  <c r="BQ134" i="1" s="1"/>
  <c r="EX133" i="1"/>
  <c r="BO133" i="1" s="1"/>
  <c r="BP133" i="1" s="1"/>
  <c r="BQ133" i="1" s="1"/>
  <c r="EX132" i="1"/>
  <c r="BO132" i="1" s="1"/>
  <c r="BP132" i="1" s="1"/>
  <c r="BQ132" i="1" s="1"/>
  <c r="EX131" i="1"/>
  <c r="BO131" i="1" s="1"/>
  <c r="BP131" i="1" s="1"/>
  <c r="BQ131" i="1" s="1"/>
  <c r="EX130" i="1"/>
  <c r="BO130" i="1" s="1"/>
  <c r="BP130" i="1" s="1"/>
  <c r="BQ130" i="1" s="1"/>
  <c r="EX129" i="1"/>
  <c r="BO129" i="1" s="1"/>
  <c r="BP129" i="1" s="1"/>
  <c r="BQ129" i="1" s="1"/>
  <c r="EX128" i="1"/>
  <c r="BO128" i="1" s="1"/>
  <c r="BP128" i="1" s="1"/>
  <c r="BQ128" i="1" s="1"/>
  <c r="EX127" i="1"/>
  <c r="BO127" i="1" s="1"/>
  <c r="BP127" i="1" s="1"/>
  <c r="BQ127" i="1" s="1"/>
  <c r="EX126" i="1"/>
  <c r="BO126" i="1" s="1"/>
  <c r="BP126" i="1" s="1"/>
  <c r="BQ126" i="1" s="1"/>
  <c r="EX125" i="1"/>
  <c r="BO125" i="1" s="1"/>
  <c r="BP125" i="1" s="1"/>
  <c r="BQ125" i="1" s="1"/>
  <c r="EX124" i="1"/>
  <c r="BO124" i="1" s="1"/>
  <c r="BP124" i="1" s="1"/>
  <c r="BQ124" i="1" s="1"/>
  <c r="EX123" i="1"/>
  <c r="BO123" i="1" s="1"/>
  <c r="BP123" i="1" s="1"/>
  <c r="BQ123" i="1" s="1"/>
  <c r="EX122" i="1"/>
  <c r="BO122" i="1" s="1"/>
  <c r="BP122" i="1" s="1"/>
  <c r="BQ122" i="1" s="1"/>
  <c r="EX121" i="1"/>
  <c r="BO121" i="1" s="1"/>
  <c r="BP121" i="1" s="1"/>
  <c r="BQ121" i="1" s="1"/>
  <c r="EX120" i="1"/>
  <c r="BO120" i="1" s="1"/>
  <c r="BP120" i="1" s="1"/>
  <c r="BQ120" i="1" s="1"/>
  <c r="EX119" i="1"/>
  <c r="BO119" i="1" s="1"/>
  <c r="BP119" i="1" s="1"/>
  <c r="BQ119" i="1" s="1"/>
  <c r="EX118" i="1"/>
  <c r="BO118" i="1" s="1"/>
  <c r="BP118" i="1" s="1"/>
  <c r="BQ118" i="1" s="1"/>
  <c r="EX117" i="1"/>
  <c r="BO117" i="1" s="1"/>
  <c r="BP117" i="1" s="1"/>
  <c r="BQ117" i="1" s="1"/>
  <c r="EX116" i="1"/>
  <c r="BO116" i="1" s="1"/>
  <c r="BP116" i="1" s="1"/>
  <c r="BQ116" i="1" s="1"/>
  <c r="EX115" i="1"/>
  <c r="BO115" i="1" s="1"/>
  <c r="BP115" i="1" s="1"/>
  <c r="BQ115" i="1" s="1"/>
  <c r="EX114" i="1"/>
  <c r="BO114" i="1" s="1"/>
  <c r="BP114" i="1" s="1"/>
  <c r="BQ114" i="1" s="1"/>
  <c r="EX113" i="1"/>
  <c r="BO113" i="1" s="1"/>
  <c r="BP113" i="1" s="1"/>
  <c r="BQ113" i="1" s="1"/>
  <c r="EX112" i="1"/>
  <c r="BO112" i="1" s="1"/>
  <c r="BP112" i="1" s="1"/>
  <c r="BQ112" i="1" s="1"/>
  <c r="EX111" i="1"/>
  <c r="BO111" i="1" s="1"/>
  <c r="BP111" i="1" s="1"/>
  <c r="BQ111" i="1" s="1"/>
  <c r="EX110" i="1"/>
  <c r="BO110" i="1" s="1"/>
  <c r="BP110" i="1" s="1"/>
  <c r="BQ110" i="1" s="1"/>
  <c r="EX109" i="1"/>
  <c r="BO109" i="1" s="1"/>
  <c r="BP109" i="1" s="1"/>
  <c r="BQ109" i="1" s="1"/>
  <c r="EX108" i="1"/>
  <c r="BO108" i="1" s="1"/>
  <c r="BP108" i="1" s="1"/>
  <c r="BQ108" i="1" s="1"/>
  <c r="EX107" i="1"/>
  <c r="BO107" i="1" s="1"/>
  <c r="BP107" i="1" s="1"/>
  <c r="BQ107" i="1" s="1"/>
  <c r="EX106" i="1"/>
  <c r="BO106" i="1" s="1"/>
  <c r="BP106" i="1" s="1"/>
  <c r="BQ106" i="1" s="1"/>
  <c r="EX105" i="1"/>
  <c r="BO105" i="1" s="1"/>
  <c r="BP105" i="1" s="1"/>
  <c r="BQ105" i="1" s="1"/>
  <c r="EX104" i="1"/>
  <c r="BO104" i="1" s="1"/>
  <c r="BP104" i="1" s="1"/>
  <c r="BQ104" i="1" s="1"/>
  <c r="EX103" i="1"/>
  <c r="BO103" i="1" s="1"/>
  <c r="BP103" i="1" s="1"/>
  <c r="BQ103" i="1" s="1"/>
  <c r="EX102" i="1"/>
  <c r="BO102" i="1" s="1"/>
  <c r="BP102" i="1" s="1"/>
  <c r="BQ102" i="1" s="1"/>
  <c r="EX101" i="1"/>
  <c r="BO101" i="1" s="1"/>
  <c r="BP101" i="1" s="1"/>
  <c r="BQ101" i="1" s="1"/>
  <c r="EX100" i="1"/>
  <c r="BO100" i="1" s="1"/>
  <c r="BP100" i="1" s="1"/>
  <c r="BQ100" i="1" s="1"/>
  <c r="EX99" i="1"/>
  <c r="BO99" i="1" s="1"/>
  <c r="BP99" i="1" s="1"/>
  <c r="BQ99" i="1" s="1"/>
  <c r="EX98" i="1"/>
  <c r="BO98" i="1" s="1"/>
  <c r="BP98" i="1" s="1"/>
  <c r="BQ98" i="1" s="1"/>
  <c r="EX97" i="1"/>
  <c r="BO97" i="1" s="1"/>
  <c r="BP97" i="1" s="1"/>
  <c r="BQ97" i="1" s="1"/>
  <c r="EX96" i="1"/>
  <c r="BO96" i="1" s="1"/>
  <c r="BP96" i="1" s="1"/>
  <c r="BQ96" i="1" s="1"/>
  <c r="EX95" i="1"/>
  <c r="BO95" i="1" s="1"/>
  <c r="BP95" i="1" s="1"/>
  <c r="BQ95" i="1" s="1"/>
  <c r="EX94" i="1"/>
  <c r="BO94" i="1" s="1"/>
  <c r="BP94" i="1" s="1"/>
  <c r="BQ94" i="1" s="1"/>
  <c r="EX93" i="1"/>
  <c r="BO93" i="1" s="1"/>
  <c r="BP93" i="1" s="1"/>
  <c r="BQ93" i="1" s="1"/>
  <c r="EX92" i="1"/>
  <c r="BO92" i="1" s="1"/>
  <c r="BP92" i="1" s="1"/>
  <c r="BQ92" i="1" s="1"/>
  <c r="EX91" i="1"/>
  <c r="BO91" i="1" s="1"/>
  <c r="BP91" i="1" s="1"/>
  <c r="BQ91" i="1" s="1"/>
  <c r="EX90" i="1"/>
  <c r="BO90" i="1" s="1"/>
  <c r="BP90" i="1" s="1"/>
  <c r="BQ90" i="1" s="1"/>
  <c r="EX89" i="1"/>
  <c r="BO89" i="1" s="1"/>
  <c r="BP89" i="1" s="1"/>
  <c r="BQ89" i="1" s="1"/>
  <c r="EX88" i="1"/>
  <c r="BO88" i="1" s="1"/>
  <c r="BP88" i="1" s="1"/>
  <c r="BQ88" i="1" s="1"/>
  <c r="EX87" i="1"/>
  <c r="BO87" i="1" s="1"/>
  <c r="BP87" i="1" s="1"/>
  <c r="BQ87" i="1" s="1"/>
  <c r="EX86" i="1"/>
  <c r="BO86" i="1" s="1"/>
  <c r="BP86" i="1" s="1"/>
  <c r="BQ86" i="1" s="1"/>
  <c r="EX85" i="1"/>
  <c r="BO85" i="1" s="1"/>
  <c r="BP85" i="1" s="1"/>
  <c r="BQ85" i="1" s="1"/>
  <c r="EX84" i="1"/>
  <c r="BO84" i="1" s="1"/>
  <c r="BP84" i="1" s="1"/>
  <c r="BQ84" i="1" s="1"/>
  <c r="EX83" i="1"/>
  <c r="BO83" i="1" s="1"/>
  <c r="BP83" i="1" s="1"/>
  <c r="BQ83" i="1" s="1"/>
  <c r="EX82" i="1"/>
  <c r="BO82" i="1" s="1"/>
  <c r="BP82" i="1" s="1"/>
  <c r="BQ82" i="1" s="1"/>
  <c r="EX81" i="1"/>
  <c r="BO81" i="1" s="1"/>
  <c r="BP81" i="1" s="1"/>
  <c r="BQ81" i="1" s="1"/>
  <c r="EX80" i="1"/>
  <c r="BO80" i="1" s="1"/>
  <c r="BP80" i="1" s="1"/>
  <c r="BQ80" i="1" s="1"/>
  <c r="EX79" i="1"/>
  <c r="BO79" i="1" s="1"/>
  <c r="BP79" i="1" s="1"/>
  <c r="BQ79" i="1" s="1"/>
  <c r="EX78" i="1"/>
  <c r="BO78" i="1" s="1"/>
  <c r="BP78" i="1" s="1"/>
  <c r="BQ78" i="1" s="1"/>
  <c r="EX77" i="1"/>
  <c r="BO77" i="1" s="1"/>
  <c r="BP77" i="1" s="1"/>
  <c r="BQ77" i="1" s="1"/>
  <c r="EX76" i="1"/>
  <c r="BO76" i="1" s="1"/>
  <c r="BP76" i="1" s="1"/>
  <c r="BQ76" i="1" s="1"/>
  <c r="EX75" i="1"/>
  <c r="BO75" i="1" s="1"/>
  <c r="BP75" i="1" s="1"/>
  <c r="BQ75" i="1" s="1"/>
  <c r="EX74" i="1"/>
  <c r="BO74" i="1" s="1"/>
  <c r="BP74" i="1" s="1"/>
  <c r="BQ74" i="1" s="1"/>
  <c r="EX73" i="1"/>
  <c r="BO73" i="1" s="1"/>
  <c r="BP73" i="1" s="1"/>
  <c r="BQ73" i="1" s="1"/>
  <c r="EX72" i="1"/>
  <c r="BO72" i="1" s="1"/>
  <c r="BP72" i="1" s="1"/>
  <c r="BQ72" i="1" s="1"/>
  <c r="EX71" i="1"/>
  <c r="BO71" i="1" s="1"/>
  <c r="BP71" i="1" s="1"/>
  <c r="BQ71" i="1" s="1"/>
  <c r="EX70" i="1"/>
  <c r="BO70" i="1" s="1"/>
  <c r="BP70" i="1" s="1"/>
  <c r="BQ70" i="1" s="1"/>
  <c r="EX69" i="1"/>
  <c r="BO69" i="1" s="1"/>
  <c r="BP69" i="1" s="1"/>
  <c r="BQ69" i="1" s="1"/>
  <c r="EX68" i="1"/>
  <c r="BO68" i="1" s="1"/>
  <c r="BP68" i="1" s="1"/>
  <c r="BQ68" i="1" s="1"/>
  <c r="EX67" i="1"/>
  <c r="BO67" i="1" s="1"/>
  <c r="BP67" i="1" s="1"/>
  <c r="BQ67" i="1" s="1"/>
  <c r="EX66" i="1"/>
  <c r="BO66" i="1" s="1"/>
  <c r="BP66" i="1" s="1"/>
  <c r="BQ66" i="1" s="1"/>
  <c r="EX65" i="1"/>
  <c r="BO65" i="1" s="1"/>
  <c r="BP65" i="1" s="1"/>
  <c r="BQ65" i="1" s="1"/>
  <c r="EX64" i="1"/>
  <c r="BO64" i="1" s="1"/>
  <c r="BP64" i="1" s="1"/>
  <c r="BQ64" i="1" s="1"/>
  <c r="EX63" i="1"/>
  <c r="BO63" i="1" s="1"/>
  <c r="BP63" i="1" s="1"/>
  <c r="BQ63" i="1" s="1"/>
  <c r="EX62" i="1"/>
  <c r="BO62" i="1" s="1"/>
  <c r="BP62" i="1" s="1"/>
  <c r="BQ62" i="1" s="1"/>
  <c r="EX61" i="1"/>
  <c r="BO61" i="1" s="1"/>
  <c r="BP61" i="1" s="1"/>
  <c r="BQ61" i="1" s="1"/>
  <c r="EX60" i="1"/>
  <c r="BO60" i="1" s="1"/>
  <c r="BP60" i="1" s="1"/>
  <c r="BQ60" i="1" s="1"/>
  <c r="EX59" i="1"/>
  <c r="BO59" i="1" s="1"/>
  <c r="BP59" i="1" s="1"/>
  <c r="BQ59" i="1" s="1"/>
  <c r="EX58" i="1"/>
  <c r="BO58" i="1" s="1"/>
  <c r="BP58" i="1" s="1"/>
  <c r="BQ58" i="1" s="1"/>
  <c r="EX57" i="1"/>
  <c r="BO57" i="1" s="1"/>
  <c r="BP57" i="1" s="1"/>
  <c r="BQ57" i="1" s="1"/>
  <c r="EX56" i="1"/>
  <c r="BO56" i="1" s="1"/>
  <c r="BP56" i="1" s="1"/>
  <c r="BQ56" i="1" s="1"/>
  <c r="EX55" i="1"/>
  <c r="BO55" i="1" s="1"/>
  <c r="BP55" i="1" s="1"/>
  <c r="BQ55" i="1" s="1"/>
  <c r="EX54" i="1"/>
  <c r="BO54" i="1" s="1"/>
  <c r="BP54" i="1" s="1"/>
  <c r="BQ54" i="1" s="1"/>
  <c r="EX53" i="1"/>
  <c r="BO53" i="1" s="1"/>
  <c r="BP53" i="1" s="1"/>
  <c r="BQ53" i="1" s="1"/>
  <c r="EX52" i="1"/>
  <c r="BO52" i="1" s="1"/>
  <c r="BP52" i="1" s="1"/>
  <c r="BQ52" i="1" s="1"/>
  <c r="EX51" i="1"/>
  <c r="BO51" i="1" s="1"/>
  <c r="BP51" i="1" s="1"/>
  <c r="BQ51" i="1" s="1"/>
  <c r="EX50" i="1"/>
  <c r="BO50" i="1" s="1"/>
  <c r="BP50" i="1" s="1"/>
  <c r="BQ50" i="1" s="1"/>
  <c r="EX49" i="1"/>
  <c r="BO49" i="1" s="1"/>
  <c r="BP49" i="1" s="1"/>
  <c r="BQ49" i="1" s="1"/>
  <c r="EX48" i="1"/>
  <c r="BO48" i="1" s="1"/>
  <c r="BP48" i="1" s="1"/>
  <c r="BQ48" i="1" s="1"/>
  <c r="EX47" i="1"/>
  <c r="BO47" i="1" s="1"/>
  <c r="BP47" i="1" s="1"/>
  <c r="BQ47" i="1" s="1"/>
  <c r="EX46" i="1"/>
  <c r="BO46" i="1" s="1"/>
  <c r="BP46" i="1" s="1"/>
  <c r="BQ46" i="1" s="1"/>
  <c r="EX45" i="1"/>
  <c r="BO45" i="1" s="1"/>
  <c r="BP45" i="1" s="1"/>
  <c r="BQ45" i="1" s="1"/>
  <c r="EX44" i="1"/>
  <c r="BO44" i="1" s="1"/>
  <c r="BP44" i="1" s="1"/>
  <c r="BQ44" i="1" s="1"/>
  <c r="EX43" i="1"/>
  <c r="BO43" i="1" s="1"/>
  <c r="BP43" i="1" s="1"/>
  <c r="BQ43" i="1" s="1"/>
  <c r="EX42" i="1"/>
  <c r="BO42" i="1" s="1"/>
  <c r="BP42" i="1" s="1"/>
  <c r="BQ42" i="1" s="1"/>
  <c r="EX41" i="1"/>
  <c r="BO41" i="1" s="1"/>
  <c r="BP41" i="1" s="1"/>
  <c r="BQ41" i="1" s="1"/>
  <c r="EX40" i="1"/>
  <c r="BO40" i="1" s="1"/>
  <c r="BP40" i="1" s="1"/>
  <c r="BQ40" i="1" s="1"/>
  <c r="EX39" i="1"/>
  <c r="BO39" i="1" s="1"/>
  <c r="BP39" i="1" s="1"/>
  <c r="BQ39" i="1" s="1"/>
  <c r="EX38" i="1"/>
  <c r="BO38" i="1" s="1"/>
  <c r="BP38" i="1" s="1"/>
  <c r="BQ38" i="1" s="1"/>
  <c r="EX37" i="1"/>
  <c r="BO37" i="1" s="1"/>
  <c r="BP37" i="1" s="1"/>
  <c r="BQ37" i="1" s="1"/>
  <c r="EX36" i="1"/>
  <c r="BO36" i="1" s="1"/>
  <c r="BP36" i="1" s="1"/>
  <c r="BQ36" i="1" s="1"/>
  <c r="EX35" i="1"/>
  <c r="BO35" i="1" s="1"/>
  <c r="BP35" i="1" s="1"/>
  <c r="BQ35" i="1" s="1"/>
  <c r="EX34" i="1"/>
  <c r="BO34" i="1" s="1"/>
  <c r="BP34" i="1" s="1"/>
  <c r="BQ34" i="1" s="1"/>
  <c r="EX33" i="1"/>
  <c r="BO33" i="1" s="1"/>
  <c r="BP33" i="1" s="1"/>
  <c r="BQ33" i="1" s="1"/>
  <c r="EX32" i="1"/>
  <c r="BO32" i="1" s="1"/>
  <c r="BP32" i="1" s="1"/>
  <c r="BQ32" i="1" s="1"/>
  <c r="EX31" i="1"/>
  <c r="BO31" i="1" s="1"/>
  <c r="BP31" i="1" s="1"/>
  <c r="BQ31" i="1" s="1"/>
  <c r="EX30" i="1"/>
  <c r="BO30" i="1" s="1"/>
  <c r="BP30" i="1" s="1"/>
  <c r="BQ30" i="1" s="1"/>
  <c r="EX29" i="1"/>
  <c r="BO29" i="1" s="1"/>
  <c r="BP29" i="1" s="1"/>
  <c r="BQ29" i="1" s="1"/>
  <c r="EX28" i="1"/>
  <c r="BO28" i="1" s="1"/>
  <c r="BP28" i="1" s="1"/>
  <c r="BQ28" i="1" s="1"/>
  <c r="EX27" i="1"/>
  <c r="BO27" i="1" s="1"/>
  <c r="BP27" i="1" s="1"/>
  <c r="BQ27" i="1" s="1"/>
  <c r="EX26" i="1"/>
  <c r="BO26" i="1" s="1"/>
  <c r="BP26" i="1" s="1"/>
  <c r="BQ26" i="1" s="1"/>
  <c r="EX25" i="1"/>
  <c r="BO25" i="1" s="1"/>
  <c r="BP25" i="1" s="1"/>
  <c r="BQ25" i="1" s="1"/>
  <c r="EX24" i="1"/>
  <c r="BO24" i="1" s="1"/>
  <c r="BP24" i="1" s="1"/>
  <c r="BQ24" i="1" s="1"/>
  <c r="EX23" i="1"/>
  <c r="BO23" i="1" s="1"/>
  <c r="BP23" i="1" s="1"/>
  <c r="BQ23" i="1" s="1"/>
  <c r="EX22" i="1"/>
  <c r="BO22" i="1" s="1"/>
  <c r="BP22" i="1" s="1"/>
  <c r="BQ22" i="1" s="1"/>
  <c r="EX21" i="1"/>
  <c r="BO21" i="1" s="1"/>
  <c r="BP21" i="1" s="1"/>
  <c r="BQ21" i="1" s="1"/>
  <c r="EX20" i="1"/>
  <c r="BO20" i="1" s="1"/>
  <c r="BP20" i="1" s="1"/>
  <c r="BQ20" i="1" s="1"/>
  <c r="EX19" i="1"/>
  <c r="BO19" i="1" s="1"/>
  <c r="BP19" i="1" s="1"/>
  <c r="BQ19" i="1" s="1"/>
  <c r="EX18" i="1"/>
  <c r="BO18" i="1" s="1"/>
  <c r="BP18" i="1" s="1"/>
  <c r="BQ18" i="1" s="1"/>
  <c r="EX17" i="1"/>
  <c r="BO17" i="1" s="1"/>
  <c r="BP17" i="1" s="1"/>
  <c r="BQ17" i="1" s="1"/>
  <c r="EX16" i="1"/>
  <c r="BO16" i="1" s="1"/>
  <c r="BP16" i="1" s="1"/>
  <c r="BQ16" i="1" s="1"/>
  <c r="EX15" i="1"/>
  <c r="BO15" i="1" s="1"/>
  <c r="BP15" i="1" s="1"/>
  <c r="BQ15" i="1" s="1"/>
  <c r="EX14" i="1"/>
  <c r="BO14" i="1" s="1"/>
  <c r="BP14" i="1" s="1"/>
  <c r="BQ14" i="1" s="1"/>
  <c r="EX13" i="1"/>
  <c r="BO13" i="1" s="1"/>
  <c r="BP13" i="1" s="1"/>
  <c r="BQ13" i="1" s="1"/>
  <c r="EX12" i="1"/>
  <c r="BO12" i="1" s="1"/>
  <c r="BP12" i="1" s="1"/>
  <c r="BQ12" i="1" s="1"/>
  <c r="EX11" i="1"/>
  <c r="BO11" i="1" s="1"/>
  <c r="BP11" i="1" s="1"/>
  <c r="BQ11" i="1" s="1"/>
  <c r="EX10" i="1"/>
  <c r="BO10" i="1" s="1"/>
  <c r="BP10" i="1" s="1"/>
  <c r="BQ10" i="1" s="1"/>
  <c r="EX9" i="1"/>
  <c r="BO9" i="1" s="1"/>
  <c r="BP9" i="1" s="1"/>
  <c r="BQ9" i="1" s="1"/>
  <c r="EX8" i="1"/>
  <c r="BO8" i="1" s="1"/>
  <c r="BP8" i="1" s="1"/>
  <c r="BQ8" i="1" s="1"/>
  <c r="EX7" i="1"/>
  <c r="BO7" i="1" s="1"/>
  <c r="BP7" i="1" s="1"/>
  <c r="BQ7" i="1" s="1"/>
  <c r="EX6" i="1"/>
  <c r="BO6" i="1" s="1"/>
  <c r="BP6" i="1" s="1"/>
  <c r="BQ6" i="1" s="1"/>
  <c r="EX5" i="1"/>
  <c r="BO5" i="1" s="1"/>
  <c r="BP5" i="1" s="1"/>
  <c r="BQ5" i="1" s="1"/>
  <c r="EX4" i="1"/>
  <c r="BO4" i="1" s="1"/>
  <c r="BP4" i="1" s="1"/>
  <c r="BQ4" i="1" s="1"/>
  <c r="EX3" i="1"/>
  <c r="BO3" i="1" s="1"/>
  <c r="BP3" i="1" s="1"/>
  <c r="BQ3" i="1" s="1"/>
  <c r="EX2" i="1"/>
  <c r="BO2" i="1" s="1"/>
  <c r="BP2" i="1" s="1"/>
  <c r="BQ2" i="1" s="1"/>
  <c r="DM5" i="1" l="1"/>
  <c r="EP5" i="1"/>
  <c r="EF5" i="1"/>
  <c r="DV5" i="1"/>
  <c r="DM144" i="1"/>
  <c r="EP144" i="1"/>
  <c r="EF144" i="1"/>
  <c r="DV144" i="1"/>
  <c r="DM146" i="1"/>
  <c r="EP146" i="1"/>
  <c r="EF146" i="1"/>
  <c r="DV146" i="1"/>
  <c r="EP167" i="1"/>
  <c r="EF167" i="1"/>
  <c r="DV167" i="1"/>
  <c r="DM143" i="1"/>
  <c r="EP143" i="1"/>
  <c r="EF143" i="1"/>
  <c r="DV143" i="1"/>
  <c r="S29" i="13"/>
  <c r="U22" i="13"/>
  <c r="U29" i="13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DN143" i="1" l="1"/>
  <c r="EQ143" i="1"/>
  <c r="EG143" i="1"/>
  <c r="DW143" i="1"/>
  <c r="DN146" i="1"/>
  <c r="EQ146" i="1"/>
  <c r="EG146" i="1"/>
  <c r="DW146" i="1"/>
  <c r="EQ144" i="1"/>
  <c r="EG144" i="1"/>
  <c r="DW144" i="1"/>
  <c r="EQ5" i="1"/>
  <c r="EG5" i="1"/>
  <c r="DW5" i="1"/>
  <c r="ER146" i="1" l="1"/>
  <c r="EH146" i="1"/>
  <c r="DX146" i="1"/>
  <c r="ER143" i="1"/>
  <c r="EH143" i="1"/>
  <c r="DX143" i="1"/>
</calcChain>
</file>

<file path=xl/sharedStrings.xml><?xml version="1.0" encoding="utf-8"?>
<sst xmlns="http://schemas.openxmlformats.org/spreadsheetml/2006/main" count="5193" uniqueCount="746">
  <si>
    <t>No.</t>
  </si>
  <si>
    <t>Manz</t>
  </si>
  <si>
    <t>Macro Lote</t>
  </si>
  <si>
    <t>Lote</t>
  </si>
  <si>
    <t>Calle</t>
  </si>
  <si>
    <t>Prototipo</t>
  </si>
  <si>
    <t xml:space="preserve">PTA NORTE </t>
  </si>
  <si>
    <t>TALAVERA</t>
  </si>
  <si>
    <t>MARINE</t>
  </si>
  <si>
    <t>ESTRELLA ORIENTE</t>
  </si>
  <si>
    <t>ESTRELLA VIAJERA</t>
  </si>
  <si>
    <t>TARRAGONA</t>
  </si>
  <si>
    <t>ESTRELLA MARINA</t>
  </si>
  <si>
    <t>ESTRELLA FUGAZ</t>
  </si>
  <si>
    <t>ESTRELLA POLAR</t>
  </si>
  <si>
    <t>ESTRELLA LUMINOSA</t>
  </si>
  <si>
    <t>ESTRELLA PONIENTE</t>
  </si>
  <si>
    <t>ESTRELLA NORTE</t>
  </si>
  <si>
    <t>ESTRELLA SUR</t>
  </si>
  <si>
    <t>ESTRELLA BLANCA</t>
  </si>
  <si>
    <t>ESTRELLA DE LA PRIMAVERA</t>
  </si>
  <si>
    <t>ESTRELLA DE INVIERNO</t>
  </si>
  <si>
    <t>AV. DEL ESCORIAL</t>
  </si>
  <si>
    <t>CAMPO ALEGRE</t>
  </si>
  <si>
    <t>ID</t>
  </si>
  <si>
    <t>ETAPA</t>
  </si>
  <si>
    <t>PRECIO</t>
  </si>
  <si>
    <t>ID PORTAL</t>
  </si>
  <si>
    <t>CRED. PUENTE</t>
  </si>
  <si>
    <t>Etiquetas de fila</t>
  </si>
  <si>
    <t>Total general</t>
  </si>
  <si>
    <t>Suma de PRECIO</t>
  </si>
  <si>
    <t>Cuenta de No.</t>
  </si>
  <si>
    <t>LIBERADO</t>
  </si>
  <si>
    <t>NO LIBERADO</t>
  </si>
  <si>
    <t>ESTATUS CLIENTE</t>
  </si>
  <si>
    <t>AUTORIZADO</t>
  </si>
  <si>
    <t>SIN CLIENTE</t>
  </si>
  <si>
    <t>APARTADO</t>
  </si>
  <si>
    <t>BLOQUEADO</t>
  </si>
  <si>
    <t>FIRMADO</t>
  </si>
  <si>
    <t>(Todas)</t>
  </si>
  <si>
    <t>Etiquetas de columna</t>
  </si>
  <si>
    <t>PROY. OBRA</t>
  </si>
  <si>
    <t>NOMBRE CLIENTE</t>
  </si>
  <si>
    <t>CANAL FINANCIERO</t>
  </si>
  <si>
    <t>FECHA VISITA</t>
  </si>
  <si>
    <t>FECHA APARTADO</t>
  </si>
  <si>
    <t>FECHA INTEGRACIÓN</t>
  </si>
  <si>
    <t>FECHA AUTORIZACIÓN</t>
  </si>
  <si>
    <t>CANAL PROSPECCIÓN</t>
  </si>
  <si>
    <t>ESTATUS PROSPECCIÓN</t>
  </si>
  <si>
    <t>FECHA FIRMA</t>
  </si>
  <si>
    <t>FECHA COBRO</t>
  </si>
  <si>
    <t>FECHA ENTREGA VIV.</t>
  </si>
  <si>
    <t>FECHA TERM. OBRA</t>
  </si>
  <si>
    <t>% OBRA REAL</t>
  </si>
  <si>
    <t>ESTATUS UBICACIÓN</t>
  </si>
  <si>
    <t>EN OBRA</t>
  </si>
  <si>
    <t>LIBRE</t>
  </si>
  <si>
    <t>CON CLIENTE</t>
  </si>
  <si>
    <t>LOCALIZACIÓN</t>
  </si>
  <si>
    <t>INTEGRACIÓN</t>
  </si>
  <si>
    <t>ANALISIS</t>
  </si>
  <si>
    <t>SALVEDAD</t>
  </si>
  <si>
    <t>DICTAMINACIÓN</t>
  </si>
  <si>
    <t>POR FIRMAR</t>
  </si>
  <si>
    <t>COBRADO</t>
  </si>
  <si>
    <t>VIV. ENTREGADA</t>
  </si>
  <si>
    <t>VALOR LIBERACIÓN</t>
  </si>
  <si>
    <t>RECOMENDADO</t>
  </si>
  <si>
    <t>ACTIVACION</t>
  </si>
  <si>
    <t>BASE DE DATOS</t>
  </si>
  <si>
    <t>PUBLICIDAD</t>
  </si>
  <si>
    <t>EXPO</t>
  </si>
  <si>
    <t>OTRO</t>
  </si>
  <si>
    <t>NO PERFILADO</t>
  </si>
  <si>
    <t>POR CERRAR</t>
  </si>
  <si>
    <t>SIN INTERES</t>
  </si>
  <si>
    <t>COFINAVIT</t>
  </si>
  <si>
    <t>BANCOS</t>
  </si>
  <si>
    <t>FOVISSSTE</t>
  </si>
  <si>
    <t>INFONAVIT</t>
  </si>
  <si>
    <t>IPEJAL</t>
  </si>
  <si>
    <t>OTROS</t>
  </si>
  <si>
    <t>ALIA2</t>
  </si>
  <si>
    <t>ENGANCHE 1</t>
  </si>
  <si>
    <t>ENGANCHE 1 FECHA</t>
  </si>
  <si>
    <t>ENGANCHE 2</t>
  </si>
  <si>
    <t>ENGANCHE 2 FECHA</t>
  </si>
  <si>
    <t>ENGANCHE 3</t>
  </si>
  <si>
    <t>ENGANCHE 3 FECHA</t>
  </si>
  <si>
    <t>ENGANCHE 4</t>
  </si>
  <si>
    <t>ENGANCHE 4 FECHA</t>
  </si>
  <si>
    <t>ENGANCHE 5</t>
  </si>
  <si>
    <t>ENGANCHE 5 FECHA</t>
  </si>
  <si>
    <t>ENGANCHE 6</t>
  </si>
  <si>
    <t>ENGANCHE 6 FECHA</t>
  </si>
  <si>
    <t>ENGANCHE 7</t>
  </si>
  <si>
    <t>ENGANCHE 7 FECHA</t>
  </si>
  <si>
    <t>ENGANCHE 8</t>
  </si>
  <si>
    <t>ENGANCHE 8 FECHA</t>
  </si>
  <si>
    <t>ENGANCHE 9</t>
  </si>
  <si>
    <t>ENGANCHE 9 FECHA</t>
  </si>
  <si>
    <t>ENGANCHE 10</t>
  </si>
  <si>
    <t>ENGANCHE 10 FECHA</t>
  </si>
  <si>
    <t>MONTO CRÉDITO</t>
  </si>
  <si>
    <t>NOTARIA</t>
  </si>
  <si>
    <t>CORREO ELECTRONICO</t>
  </si>
  <si>
    <t>TELEFONO CASA</t>
  </si>
  <si>
    <t>TELEFONO MOVIL</t>
  </si>
  <si>
    <t>TELEFONO RECADOS</t>
  </si>
  <si>
    <t>APARTADO $</t>
  </si>
  <si>
    <t>DIAS APARTADO</t>
  </si>
  <si>
    <t>DIAS FIRMA</t>
  </si>
  <si>
    <t>FECHA PROYECCIÓN FIRMA</t>
  </si>
  <si>
    <t>2DA-SEP</t>
  </si>
  <si>
    <t>2DA-AGO</t>
  </si>
  <si>
    <t>2DA-OCT</t>
  </si>
  <si>
    <t>2DA-NOV</t>
  </si>
  <si>
    <t>2DA-DIC</t>
  </si>
  <si>
    <t>JAVIER SANCHEZ LEDEZMA</t>
  </si>
  <si>
    <t>ANA PEREZ DEL TORO</t>
  </si>
  <si>
    <t>ROSA ROSAS SANCHEZ</t>
  </si>
  <si>
    <t>IVONNE WIBON CORTES</t>
  </si>
  <si>
    <t>JOSE CARTER RAZO</t>
  </si>
  <si>
    <t>LUIS SMITH CARMONA</t>
  </si>
  <si>
    <t>JUAN VELASCO ELIZONDO</t>
  </si>
  <si>
    <t>ALBERTO ARIAS GARCIA</t>
  </si>
  <si>
    <t>ESTEFANIA DEL TORO ENRIQUEZ</t>
  </si>
  <si>
    <t>ANDREA OLEA DE ANDA</t>
  </si>
  <si>
    <t>GABRIELA ARAGON ORTIZ</t>
  </si>
  <si>
    <t>JAVIER DIAZ BECERRA</t>
  </si>
  <si>
    <t>ANDREA CARMONA SMITH</t>
  </si>
  <si>
    <t>GABRIELA ELIZONDO VELASCO</t>
  </si>
  <si>
    <t>JAVIER GARCIA ARIAS</t>
  </si>
  <si>
    <t>ALBERTO LEDEZMA OLEA</t>
  </si>
  <si>
    <t>ESTEFANIA ENRIQUEZ SANCHEZ</t>
  </si>
  <si>
    <t>ANA DE ANDA PEREZ</t>
  </si>
  <si>
    <t>ROSA ORTIZ ROSAS</t>
  </si>
  <si>
    <t>IVONNE BECERRA WIBON</t>
  </si>
  <si>
    <t>JOSE DEL TORO CARTER</t>
  </si>
  <si>
    <t>JAVIER SANCHEZ DEL TORO</t>
  </si>
  <si>
    <t>LUIS CORTES ARAGON</t>
  </si>
  <si>
    <t>JUAN RAZO DIAZ</t>
  </si>
  <si>
    <t>JOSE LUIS CASILLAS DIAZ</t>
  </si>
  <si>
    <t>CAROLINA AUZETA PRADO</t>
  </si>
  <si>
    <t>FRACCIONAMIENTO</t>
  </si>
  <si>
    <t>VENDEDOR</t>
  </si>
  <si>
    <t>6+54351</t>
  </si>
  <si>
    <t>CANCELADO</t>
  </si>
  <si>
    <t>JUAN SANCHEZ ALDANA</t>
  </si>
  <si>
    <t>RODRIGO MEDINA ALCAR</t>
  </si>
  <si>
    <t>ROSA DIEZ NUÑO</t>
  </si>
  <si>
    <t>GERARDO MEZA SOLIS</t>
  </si>
  <si>
    <t>BRENDA ARAGON PEZ</t>
  </si>
  <si>
    <t>ALEJANDRA ORTIZ SOLA</t>
  </si>
  <si>
    <t>ANDREA CASTELLANOS ROCHA</t>
  </si>
  <si>
    <t>ALBERTO SUCAR MIGUEL</t>
  </si>
  <si>
    <t>JAVIER SANCHEZ GONZALEZ</t>
  </si>
  <si>
    <t>Cuenta de NOMBRE CLIENTE</t>
  </si>
  <si>
    <t>CAJÓN FECHA VISITA</t>
  </si>
  <si>
    <t>(Varios elementos)</t>
  </si>
  <si>
    <t>4TA SEM</t>
  </si>
  <si>
    <t>5TA SEM</t>
  </si>
  <si>
    <t>6TA SEM</t>
  </si>
  <si>
    <t>8VA SEM</t>
  </si>
  <si>
    <t>MAYOR A 2 MESES</t>
  </si>
  <si>
    <t>VENDEDOR ASIGNADO</t>
  </si>
  <si>
    <t>7MA SEM</t>
  </si>
  <si>
    <t>3RA SEM</t>
  </si>
  <si>
    <t>MJV</t>
  </si>
  <si>
    <t>MRV</t>
  </si>
  <si>
    <t>AMG</t>
  </si>
  <si>
    <t>SNM</t>
  </si>
  <si>
    <t>AR</t>
  </si>
  <si>
    <t>ETAPA 1</t>
  </si>
  <si>
    <t>ETAPA 2</t>
  </si>
  <si>
    <t>ETAPA 3</t>
  </si>
  <si>
    <t>Total ETAPA 3</t>
  </si>
  <si>
    <t>Total ETAPA 2</t>
  </si>
  <si>
    <t>Total ETAPA 1</t>
  </si>
  <si>
    <t>NA</t>
  </si>
  <si>
    <t>Cuenta de ID</t>
  </si>
  <si>
    <t>CAJÓN PROY. FIRMA</t>
  </si>
  <si>
    <t>1RA-MAY</t>
  </si>
  <si>
    <t>2DA-ABR</t>
  </si>
  <si>
    <t>2DA-JUN</t>
  </si>
  <si>
    <t>2DA-MAY</t>
  </si>
  <si>
    <t>Suma de VALOR LIBERACIÓN</t>
  </si>
  <si>
    <t>SEMANA VISITA</t>
  </si>
  <si>
    <t>MES VISITA</t>
  </si>
  <si>
    <t>SEMANA APARTADO</t>
  </si>
  <si>
    <t>MES APARTADO</t>
  </si>
  <si>
    <t>SEMANA FIRMA</t>
  </si>
  <si>
    <t>MES FIRMA</t>
  </si>
  <si>
    <t>SEMANA ENTREGA VIV</t>
  </si>
  <si>
    <t>MES ENTREGA VIV</t>
  </si>
  <si>
    <t>META</t>
  </si>
  <si>
    <t>REAL</t>
  </si>
  <si>
    <t>COFI</t>
  </si>
  <si>
    <t>BANCO</t>
  </si>
  <si>
    <t>TOTAL</t>
  </si>
  <si>
    <t>META PROSPECCIÓN</t>
  </si>
  <si>
    <t>META FIRMAS</t>
  </si>
  <si>
    <t>META APARTADOS</t>
  </si>
  <si>
    <t>META PROSPECCIÓN MENSUAL</t>
  </si>
  <si>
    <t>META APARTADOS MENSUAL</t>
  </si>
  <si>
    <t>META FIRMAS MENSUAL</t>
  </si>
  <si>
    <t>SEM ENGANCHE 1</t>
  </si>
  <si>
    <t>SEM ENGANCHE 2</t>
  </si>
  <si>
    <t>SEM ENGANCHE 3</t>
  </si>
  <si>
    <t>SEM ENGANCHE 4</t>
  </si>
  <si>
    <t>SEM ENGANCHE 5</t>
  </si>
  <si>
    <t>SEM ENGANCHE 6</t>
  </si>
  <si>
    <t>SEM ENGANCHE 7</t>
  </si>
  <si>
    <t>SEM ENGANCHE 8</t>
  </si>
  <si>
    <t>SEM ENGANCHE 9</t>
  </si>
  <si>
    <t>SEM ENGANCHE 10</t>
  </si>
  <si>
    <t>MES ENGANCHE 1</t>
  </si>
  <si>
    <t>MES ENGANCHE 2</t>
  </si>
  <si>
    <t>MES ENGANCHE 3</t>
  </si>
  <si>
    <t>MES ENGANCHE 4</t>
  </si>
  <si>
    <t>MES ENGANCHE 5</t>
  </si>
  <si>
    <t>MES ENGANCHE 6</t>
  </si>
  <si>
    <t>MES ENGANCHE 7</t>
  </si>
  <si>
    <t>MES ENGANCHE 8</t>
  </si>
  <si>
    <t>MES ENGANCHE 9</t>
  </si>
  <si>
    <t>MES ENGANCHE 10</t>
  </si>
  <si>
    <t>AÑO ENGANCHE 1</t>
  </si>
  <si>
    <t>AÑO ENGANCHE 2</t>
  </si>
  <si>
    <t>AÑO ENGANCHE 3</t>
  </si>
  <si>
    <t>AÑO ENGANCHE 4</t>
  </si>
  <si>
    <t>AÑO ENGANCHE 5</t>
  </si>
  <si>
    <t>AÑO ENGANCHE 6</t>
  </si>
  <si>
    <t>AÑO ENGANCHE 7</t>
  </si>
  <si>
    <t>AÑO ENGANCHE 8</t>
  </si>
  <si>
    <t>AÑO ENGANCHE 9</t>
  </si>
  <si>
    <t>AÑO ENGANCHE 10</t>
  </si>
  <si>
    <t>ESTATUS ENGANCHE 1</t>
  </si>
  <si>
    <t>ESTATUS ENGANCHE 2</t>
  </si>
  <si>
    <t>ESTATUS ENGANCHE 3</t>
  </si>
  <si>
    <t>ESTATUS ENGANCHE 4</t>
  </si>
  <si>
    <t>ESTATUS ENGANCHE 5</t>
  </si>
  <si>
    <t>ESTATUS ENGANCHE 6</t>
  </si>
  <si>
    <t>ESTATUS ENGANCHE 7</t>
  </si>
  <si>
    <t>ESTATUS ENGANCHE 8</t>
  </si>
  <si>
    <t>ESTATUS ENGANCHE 9</t>
  </si>
  <si>
    <t>ESTATUS ENGANCHE 10</t>
  </si>
  <si>
    <t>VIGENTE</t>
  </si>
  <si>
    <t>PAGADO</t>
  </si>
  <si>
    <t>VENCIDO</t>
  </si>
  <si>
    <t>SUMA VIGENTE</t>
  </si>
  <si>
    <t>SUMA PAGADO</t>
  </si>
  <si>
    <t>SUMA VENCIDO</t>
  </si>
  <si>
    <t>ABR</t>
  </si>
  <si>
    <t>MAY</t>
  </si>
  <si>
    <t>JUN</t>
  </si>
  <si>
    <t>JUL</t>
  </si>
  <si>
    <t>MAR</t>
  </si>
  <si>
    <t>ENE</t>
  </si>
  <si>
    <t>FEB</t>
  </si>
  <si>
    <t>AGO</t>
  </si>
  <si>
    <t>SEP</t>
  </si>
  <si>
    <t>OCT</t>
  </si>
  <si>
    <t>NOV</t>
  </si>
  <si>
    <t>DIC</t>
  </si>
  <si>
    <t>Total</t>
  </si>
  <si>
    <t>VIGENTE 1</t>
  </si>
  <si>
    <t>PAGADO 1</t>
  </si>
  <si>
    <t>Cuenta de ENGANCHE 1</t>
  </si>
  <si>
    <t>Suma de ENGANCHE 1</t>
  </si>
  <si>
    <t>(en blanco)</t>
  </si>
  <si>
    <t>Cuenta de ENGANCHE 2</t>
  </si>
  <si>
    <t>Suma de ENGANCHE 2</t>
  </si>
  <si>
    <t>Cuenta de ENGANCHE 3</t>
  </si>
  <si>
    <t>Suma de ENGANCHE 3</t>
  </si>
  <si>
    <t>Cuenta de ENGANCHE 4</t>
  </si>
  <si>
    <t>Suma de ENGANCHE 4</t>
  </si>
  <si>
    <t>Cuenta de ENGANCHE 5</t>
  </si>
  <si>
    <t>Suma de ENGANCHE 5</t>
  </si>
  <si>
    <t>Cuenta de ENGANCHE 6</t>
  </si>
  <si>
    <t>Suma de ENGANCHE 6</t>
  </si>
  <si>
    <t>Cuenta de ENGANCHE 7</t>
  </si>
  <si>
    <t>Cuenta de ENGANCHE 8</t>
  </si>
  <si>
    <t>Cuenta de ENGANCHE 9</t>
  </si>
  <si>
    <t>Suma de ENGANCHE 7</t>
  </si>
  <si>
    <t>Suma de ENGANCHE 8</t>
  </si>
  <si>
    <t>Suma de ENGANCHE 9</t>
  </si>
  <si>
    <t>Cuenta de ENGANCHE 10</t>
  </si>
  <si>
    <t>Suma de ENGANCHE 10</t>
  </si>
  <si>
    <t>VENCIDO $</t>
  </si>
  <si>
    <t>VIGENTE $</t>
  </si>
  <si>
    <t>PAGADO $</t>
  </si>
  <si>
    <t>NO. CLIENTES VENCIDO</t>
  </si>
  <si>
    <t>NO. CLIENTES VIGENTE</t>
  </si>
  <si>
    <t>NO. CLIENTES PAGADO</t>
  </si>
  <si>
    <t>SEGUIMIENTO COBRANZA</t>
  </si>
  <si>
    <t>1.- MAPA PARA INCLUIR CON DIFERENTES ESTATUS</t>
  </si>
  <si>
    <t>CUV</t>
  </si>
  <si>
    <t>No. Oficial</t>
  </si>
  <si>
    <t>CALLE</t>
  </si>
  <si>
    <t>COLONIA</t>
  </si>
  <si>
    <t>C.P.</t>
  </si>
  <si>
    <t>MUNICIPIO</t>
  </si>
  <si>
    <t>ESTADO</t>
  </si>
  <si>
    <t>AKUA</t>
  </si>
  <si>
    <t>SIAPA</t>
  </si>
  <si>
    <t>PREDIAL</t>
  </si>
  <si>
    <t>CLG</t>
  </si>
  <si>
    <t>FECHA PAGO SIAPA</t>
  </si>
  <si>
    <t>FECHA PAGO PREDIAL</t>
  </si>
  <si>
    <t>FECHA EMISIÓN CLG</t>
  </si>
  <si>
    <t>AVALÚO</t>
  </si>
  <si>
    <t>DE 11 A 15 DIAS</t>
  </si>
  <si>
    <t>DE 16 A 20 DIAS</t>
  </si>
  <si>
    <t>DE 21 A 25 DIAS</t>
  </si>
  <si>
    <t>DE 26 A 29 DIAS</t>
  </si>
  <si>
    <t>DE 31 A 35 DIAS</t>
  </si>
  <si>
    <t>DE 36 A 45 DIAS</t>
  </si>
  <si>
    <t>HASTA 5 DIAS</t>
  </si>
  <si>
    <t>MAYOR A 45 DIAS</t>
  </si>
  <si>
    <t>ND</t>
  </si>
  <si>
    <t>SEGUIMIENTO SIAPA</t>
  </si>
  <si>
    <t>SEGUIMIENTO PREDIAL</t>
  </si>
  <si>
    <t>SEGUIMIENTO CLG</t>
  </si>
  <si>
    <t>DE 6 A 10 DIAS</t>
  </si>
  <si>
    <t>30 DIAS</t>
  </si>
  <si>
    <t>|</t>
  </si>
  <si>
    <t>MONTO MINISTRADO</t>
  </si>
  <si>
    <t>POR EJERCER</t>
  </si>
  <si>
    <t>% MINISTRADO</t>
  </si>
  <si>
    <t>% X EJERCER</t>
  </si>
  <si>
    <t>20%</t>
  </si>
  <si>
    <t>65%</t>
  </si>
  <si>
    <t>5%</t>
  </si>
  <si>
    <t>50%</t>
  </si>
  <si>
    <t>80%</t>
  </si>
  <si>
    <t>85%</t>
  </si>
  <si>
    <t>100%</t>
  </si>
  <si>
    <t>30%</t>
  </si>
  <si>
    <t>40%</t>
  </si>
  <si>
    <t>99%</t>
  </si>
  <si>
    <t>Suma de MONTO MINISTRADO</t>
  </si>
  <si>
    <t>Suma de POR EJERCER</t>
  </si>
  <si>
    <t>SEGUIMIENTO CRÉDITO PUENTE</t>
  </si>
  <si>
    <t>CRED. PUENTE PAGADO</t>
  </si>
  <si>
    <t>SALDO CRED. PUENTE</t>
  </si>
  <si>
    <t>Suma de CRED. PUENTE PAGADO</t>
  </si>
  <si>
    <t>Suma de SALDO CRED. PUENTE</t>
  </si>
  <si>
    <t>FECHA LIBERACIÓN C. PUENTE</t>
  </si>
  <si>
    <t>BANCO  ACREEDOR CP</t>
  </si>
  <si>
    <t>SANTANDER</t>
  </si>
  <si>
    <t>BANCOMER</t>
  </si>
  <si>
    <t>m2 Construccion</t>
  </si>
  <si>
    <t>m2 Terreno</t>
  </si>
  <si>
    <t>INGRESOS CONYUGALES</t>
  </si>
  <si>
    <t>CAJÓN INGRESOS</t>
  </si>
  <si>
    <t>ENTRE 12 Y 18 MIL</t>
  </si>
  <si>
    <t>ENTRE 18 Y 25 MIL</t>
  </si>
  <si>
    <t>ENTRE 25 Y 35 MIL</t>
  </si>
  <si>
    <t>ENTRE 35 Y 45 MIL</t>
  </si>
  <si>
    <t>HASTA 12 MIL</t>
  </si>
  <si>
    <t>MAYOR A 45 MILES</t>
  </si>
  <si>
    <t>1ER PAGO</t>
  </si>
  <si>
    <t>2DO PAGO</t>
  </si>
  <si>
    <t>3ER PAGO</t>
  </si>
  <si>
    <t>FECHA 1ER PAGO</t>
  </si>
  <si>
    <t>FECHA 2DO PAGO</t>
  </si>
  <si>
    <t>FECHA 3ER PAGO</t>
  </si>
  <si>
    <t>FECHA CANCELACIÓN</t>
  </si>
  <si>
    <t>PAGADA</t>
  </si>
  <si>
    <t>CANCELADA</t>
  </si>
  <si>
    <t>X CANCELAR</t>
  </si>
  <si>
    <t>ESTATUS COMISIÓN VENTA 1</t>
  </si>
  <si>
    <t>ESTATUS COMISIÓN VENTA 2</t>
  </si>
  <si>
    <t>ESTATUS COMISIÓN VENTA 3</t>
  </si>
  <si>
    <t>% COMISIÓN</t>
  </si>
  <si>
    <t>PENDIENTE</t>
  </si>
  <si>
    <t>CAJÓN COMISIÓN 1</t>
  </si>
  <si>
    <t>CAJÓN COMISIÓN 2</t>
  </si>
  <si>
    <t>CAJÓN COMISIÓN 3</t>
  </si>
  <si>
    <t>CAJÓN CANC COM</t>
  </si>
  <si>
    <t>COMISION 1</t>
  </si>
  <si>
    <t>COMISION 2</t>
  </si>
  <si>
    <t>COMISION 3</t>
  </si>
  <si>
    <t>COMISION 1 $</t>
  </si>
  <si>
    <t>COMISION 2 $</t>
  </si>
  <si>
    <t>COMISION 3 $</t>
  </si>
  <si>
    <t>PREAUTORIZADO</t>
  </si>
  <si>
    <t>ANÁLISIS</t>
  </si>
  <si>
    <t>COMISIONES PAGADAS  1</t>
  </si>
  <si>
    <t>COMISIONES PAGADAS 2</t>
  </si>
  <si>
    <t>COMISIONES PENDIENTES   1</t>
  </si>
  <si>
    <t>COMISIONES PENDIENTES 2</t>
  </si>
  <si>
    <t>COMISIONES PENDIENTES  3</t>
  </si>
  <si>
    <t>COMISIONES PAGADAS  3</t>
  </si>
  <si>
    <t>001</t>
  </si>
  <si>
    <t>DATO</t>
  </si>
  <si>
    <t>FORMULA</t>
  </si>
  <si>
    <t>ESTATUS PREDEFINIDO</t>
  </si>
  <si>
    <t>001415223659533321</t>
  </si>
  <si>
    <t>3RA</t>
  </si>
  <si>
    <t>Tarragona</t>
  </si>
  <si>
    <t>3122-108</t>
  </si>
  <si>
    <t>A1</t>
  </si>
  <si>
    <t>C3</t>
  </si>
  <si>
    <t>B2</t>
  </si>
  <si>
    <t>CUENTA SIAPA</t>
  </si>
  <si>
    <t>CUENTA PREDIAL</t>
  </si>
  <si>
    <t>FOLIO CLG</t>
  </si>
  <si>
    <t>12000-236</t>
  </si>
  <si>
    <t>00-14-45236645</t>
  </si>
  <si>
    <t>13213 SECC. INM</t>
  </si>
  <si>
    <t>CONTADOR</t>
  </si>
  <si>
    <t>CONSECUTIVO</t>
  </si>
  <si>
    <t>OMAR RODRIGO CASILLAS DÍAZ</t>
  </si>
  <si>
    <t>D4</t>
  </si>
  <si>
    <t>VENDEDOR 1</t>
  </si>
  <si>
    <t>PEZ AUSTRAL 4186</t>
  </si>
  <si>
    <t>VENDEDOR 2</t>
  </si>
  <si>
    <t>VENDEDOR 3</t>
  </si>
  <si>
    <t>VENDEDOR 4</t>
  </si>
  <si>
    <t>ARBOLEDAS</t>
  </si>
  <si>
    <t>ZAPOPAN</t>
  </si>
  <si>
    <t>JALISCO</t>
  </si>
  <si>
    <t>VENDEDOR 5</t>
  </si>
  <si>
    <t>VENDEDOR 6</t>
  </si>
  <si>
    <t>VENDEDOR 7</t>
  </si>
  <si>
    <t>VENDEDOR 8</t>
  </si>
  <si>
    <t>omar.casillas@pctvmexico.com</t>
  </si>
  <si>
    <t>VENDEDOR 9</t>
  </si>
  <si>
    <t>VENDEDOR 10</t>
  </si>
  <si>
    <t>VENDEDOR 11</t>
  </si>
  <si>
    <t>VENDEDOR 12</t>
  </si>
  <si>
    <t>VENDEDOR 13</t>
  </si>
  <si>
    <t>VENDEDOR 14</t>
  </si>
  <si>
    <t>VENDEDOR 15</t>
  </si>
  <si>
    <t>VENDEDOR 16</t>
  </si>
  <si>
    <t>VENDEDOR 17</t>
  </si>
  <si>
    <t>VENDEDOR 18</t>
  </si>
  <si>
    <t>VENDEDOR 19</t>
  </si>
  <si>
    <t>VENDEDOR 20</t>
  </si>
  <si>
    <t>VENDEDOR 21</t>
  </si>
  <si>
    <t>VENDEDOR 22</t>
  </si>
  <si>
    <t>VENDEDOR 23</t>
  </si>
  <si>
    <t>VENDEDOR 24</t>
  </si>
  <si>
    <t>VENDEDOR 25</t>
  </si>
  <si>
    <t>DATO PRECARGADO ETAPA ANTERIOR</t>
  </si>
  <si>
    <t>DEPENDIENTE DE ESTATUS Y FECHA PARA GENERAR DOCUMENTOS PARA PODER IMPRIMIR EN PDF</t>
  </si>
  <si>
    <t>SIN SOLICITAR</t>
  </si>
  <si>
    <t>EN PROCESO</t>
  </si>
  <si>
    <t>COLOR CON CLIENTE</t>
  </si>
  <si>
    <t>COLOR SIN CLIENTE</t>
  </si>
  <si>
    <t>ENTRE 10 Y 30%</t>
  </si>
  <si>
    <t>ENTRE 40 Y 70%</t>
  </si>
  <si>
    <t>ENTRE 80 Y 90%</t>
  </si>
  <si>
    <t>ESTATUS UBICACIÓN VENTAS</t>
  </si>
  <si>
    <t>DEPENDIENTE DE ESTATUS "APARTADO" PARA ELEGIR UBICACIÓN Y GENERAR DOCUMENTOS PARA PODER IMPRIMIR EN PDF</t>
  </si>
  <si>
    <t xml:space="preserve">Al momento de elegir este estatus, Se habilita la opción para elegir una ubicación que se asignará al cliente y el campo de fecha de plan de apartado, posteriormente se debe crear en PDF el plan de apartado, contrato de compraventa, pagaré y formato de validación pagos. </t>
  </si>
  <si>
    <t>GASTOS CRED. Y TIT.</t>
  </si>
  <si>
    <t>30/07/12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</si>
  <si>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</si>
  <si>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</si>
  <si>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</si>
  <si>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</si>
  <si>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</si>
  <si>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</si>
  <si>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</si>
  <si>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</si>
  <si>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</si>
  <si>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</si>
  <si>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</si>
  <si>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</si>
  <si>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COMENTARIOS</t>
  </si>
  <si>
    <t>COMENTARIOS SEGUIMIENTO CLIENTE</t>
  </si>
  <si>
    <t>CAPTURA</t>
  </si>
  <si>
    <t>MODIFICACIÓN DATOS GUARDADOS</t>
  </si>
  <si>
    <t>CONSULTA</t>
  </si>
  <si>
    <t>MODIFICACIÓN ESTATUS DE CRITERIOS</t>
  </si>
  <si>
    <t>FACULTADES POR MÓDULOS Y COMBINACIONES (ADEMÁS DE USUARIO MAESTRO)</t>
  </si>
  <si>
    <t>USUARIOS</t>
  </si>
  <si>
    <t>MAESTRO</t>
  </si>
  <si>
    <t>Facultad para cargar información, estatus predefinidos.</t>
  </si>
  <si>
    <t>Facultad para cargar más no corregir una vez guardado</t>
  </si>
  <si>
    <t>Usuario para captura información de cliente</t>
  </si>
  <si>
    <t>CAPTURA COMERCIAL</t>
  </si>
  <si>
    <t>Usuario para capturar información para cerrar contrato (POR CERRAR)</t>
  </si>
  <si>
    <t>AUTORIZACIÓN APARTADO</t>
  </si>
  <si>
    <t>Usuario para cerrar cliente apartado y que detione documentación.</t>
  </si>
  <si>
    <t>CAPTURA PROSPECTO</t>
  </si>
  <si>
    <t>CAPTURA INVENTARIO</t>
  </si>
  <si>
    <t>CONSULTA MÓDULO INVENTARIO</t>
  </si>
  <si>
    <t>CONSULTA TOTAL</t>
  </si>
  <si>
    <t>Sólo visualizar Tableros, Visor unidades en módulo Inventario</t>
  </si>
  <si>
    <t>Sólo visualizar Tableros, Visor unidades en total de módulos</t>
  </si>
  <si>
    <t>CAPTURA ESTATUS COBRANZA</t>
  </si>
  <si>
    <t>Usuario para captura de cobranza enganche</t>
  </si>
  <si>
    <t>CAPTURA SEGUIMIENTO CLIENTE</t>
  </si>
  <si>
    <t>Usuario para capturar información de los clientes</t>
  </si>
  <si>
    <t>CONSULTA MÓDULO PROSPECCIÓN</t>
  </si>
  <si>
    <t>Sólo visualizar Tableros, Visor unidades en módulo Prospección</t>
  </si>
  <si>
    <t>CONSULTA MÓDULO SEGUIMIENTO CLIENTE</t>
  </si>
  <si>
    <t>Sólo visualizar Tableros, Visor unidades en módulo seg-cliente</t>
  </si>
  <si>
    <t>CAPTURA ESTATUS COMISIONES</t>
  </si>
  <si>
    <t>CAPTURA CORRECCIÓN COMISIONES</t>
  </si>
  <si>
    <t>Usuario para captura de FECHAS, MONTOS Y ESTATUS</t>
  </si>
  <si>
    <t>Usuario para corregir una vez guardada la información</t>
  </si>
  <si>
    <t>Sólo visualizar Tableros, Visor unidades en módulo PAGO DE COMISIONES</t>
  </si>
  <si>
    <t>020101</t>
  </si>
  <si>
    <t>020102</t>
  </si>
  <si>
    <t>020103</t>
  </si>
  <si>
    <t>020104</t>
  </si>
  <si>
    <t>020105</t>
  </si>
  <si>
    <t>020106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</si>
  <si>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</si>
  <si>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</si>
  <si>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</si>
  <si>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</si>
  <si>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</si>
  <si>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</si>
  <si>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</si>
  <si>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</si>
  <si>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</si>
  <si>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</si>
  <si>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</si>
  <si>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</si>
  <si>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</si>
  <si>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</si>
  <si>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</si>
  <si>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</si>
  <si>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</si>
  <si>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</si>
  <si>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</si>
  <si>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</si>
  <si>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</si>
  <si>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</si>
  <si>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</si>
  <si>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</si>
  <si>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020312</t>
  </si>
  <si>
    <t>020313</t>
  </si>
  <si>
    <t>020314</t>
  </si>
  <si>
    <t>020315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</si>
  <si>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</si>
  <si>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</si>
  <si>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</si>
  <si>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</si>
  <si>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</si>
  <si>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</si>
  <si>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</si>
  <si>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</si>
  <si>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020409</t>
  </si>
  <si>
    <t>020410</t>
  </si>
  <si>
    <t>020411</t>
  </si>
  <si>
    <t>020412</t>
  </si>
  <si>
    <t>020413</t>
  </si>
  <si>
    <t>020414</t>
  </si>
  <si>
    <t>020415</t>
  </si>
  <si>
    <t>020416</t>
  </si>
  <si>
    <t>020417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</si>
  <si>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</si>
  <si>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</si>
  <si>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</si>
  <si>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</si>
  <si>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</si>
  <si>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</si>
  <si>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</si>
  <si>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</si>
  <si>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</si>
  <si>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</si>
  <si>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</si>
  <si>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</si>
  <si>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</si>
  <si>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</si>
  <si>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</si>
  <si>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020516</t>
  </si>
  <si>
    <t>020517</t>
  </si>
  <si>
    <t>020518</t>
  </si>
  <si>
    <t>020519</t>
  </si>
  <si>
    <t>020520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</si>
  <si>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</si>
  <si>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</si>
  <si>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</si>
  <si>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</si>
  <si>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</si>
  <si>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</si>
  <si>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</si>
  <si>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</si>
  <si>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</si>
  <si>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</si>
  <si>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</si>
  <si>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020612</t>
  </si>
  <si>
    <t>020613</t>
  </si>
  <si>
    <t>020614</t>
  </si>
  <si>
    <t>020615</t>
  </si>
  <si>
    <t>020617</t>
  </si>
  <si>
    <t>020618</t>
  </si>
  <si>
    <t>020619</t>
  </si>
  <si>
    <t>020620</t>
  </si>
  <si>
    <t>020621</t>
  </si>
  <si>
    <t>020622</t>
  </si>
  <si>
    <t>020701</t>
  </si>
  <si>
    <t>020702</t>
  </si>
  <si>
    <t>020703</t>
  </si>
  <si>
    <t>020704</t>
  </si>
  <si>
    <t>020705</t>
  </si>
  <si>
    <t>020706</t>
  </si>
  <si>
    <t>020707</t>
  </si>
  <si>
    <t>020708</t>
  </si>
  <si>
    <t>020709</t>
  </si>
  <si>
    <t>020710</t>
  </si>
  <si>
    <t>020711</t>
  </si>
  <si>
    <t>020712</t>
  </si>
  <si>
    <t>020713</t>
  </si>
  <si>
    <t>020714</t>
  </si>
  <si>
    <t>020715</t>
  </si>
  <si>
    <t>020716</t>
  </si>
  <si>
    <t>020717</t>
  </si>
  <si>
    <t>020718</t>
  </si>
  <si>
    <t>020719</t>
  </si>
  <si>
    <t>020720</t>
  </si>
  <si>
    <t>020721</t>
  </si>
  <si>
    <t>020722</t>
  </si>
  <si>
    <t>020723</t>
  </si>
  <si>
    <t>020724</t>
  </si>
  <si>
    <t>020801</t>
  </si>
  <si>
    <t>020802</t>
  </si>
  <si>
    <t>020803</t>
  </si>
  <si>
    <t>020804</t>
  </si>
  <si>
    <t>020805</t>
  </si>
  <si>
    <t>020806</t>
  </si>
  <si>
    <t>020807</t>
  </si>
  <si>
    <t>020808</t>
  </si>
  <si>
    <t>020809</t>
  </si>
  <si>
    <t>020810</t>
  </si>
  <si>
    <t>020811</t>
  </si>
  <si>
    <t>020812</t>
  </si>
  <si>
    <t>020813</t>
  </si>
  <si>
    <t>020814</t>
  </si>
  <si>
    <t>020815</t>
  </si>
  <si>
    <t>020816</t>
  </si>
  <si>
    <t>020817</t>
  </si>
  <si>
    <t>020818</t>
  </si>
  <si>
    <t>020819</t>
  </si>
  <si>
    <t>020820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</si>
  <si>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</si>
  <si>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</si>
  <si>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</si>
  <si>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</si>
  <si>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</si>
  <si>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</si>
  <si>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</si>
  <si>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</si>
  <si>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</si>
  <si>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</si>
  <si>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</si>
  <si>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</si>
  <si>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</si>
  <si>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</si>
  <si>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</si>
  <si>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</si>
  <si>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</si>
  <si>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</si>
  <si>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</si>
  <si>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</si>
  <si>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</si>
  <si>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</si>
  <si>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</si>
  <si>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</si>
  <si>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</si>
  <si>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</si>
  <si>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030101</t>
  </si>
  <si>
    <t>030102</t>
  </si>
  <si>
    <t>030103</t>
  </si>
  <si>
    <t>030104</t>
  </si>
  <si>
    <t>030105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</si>
  <si>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</si>
  <si>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</si>
  <si>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</si>
  <si>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</si>
  <si>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</si>
  <si>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</si>
  <si>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</si>
  <si>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</si>
  <si>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</si>
  <si>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</si>
  <si>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</si>
  <si>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</si>
  <si>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</si>
  <si>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</si>
  <si>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</si>
  <si>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</si>
  <si>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</si>
  <si>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</si>
  <si>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</si>
  <si>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</si>
  <si>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</si>
  <si>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</si>
  <si>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</si>
  <si>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030314</t>
  </si>
  <si>
    <t>030315</t>
  </si>
  <si>
    <t>030316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</si>
  <si>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</si>
  <si>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</si>
  <si>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</si>
  <si>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</si>
  <si>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</si>
  <si>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</si>
  <si>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</si>
  <si>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</si>
  <si>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</si>
  <si>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</si>
  <si>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</si>
  <si>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</si>
  <si>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</si>
  <si>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</si>
  <si>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</si>
  <si>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</si>
  <si>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</si>
  <si>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030418</t>
  </si>
  <si>
    <t>030419</t>
  </si>
  <si>
    <t>030420</t>
  </si>
  <si>
    <t>030421</t>
  </si>
  <si>
    <t>030422</t>
  </si>
  <si>
    <t>030423</t>
  </si>
  <si>
    <t>030424</t>
  </si>
  <si>
    <t>040101</t>
  </si>
  <si>
    <t>040102</t>
  </si>
  <si>
    <t>050101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</si>
  <si>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</si>
  <si>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</si>
  <si>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</si>
  <si>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</si>
  <si>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</si>
  <si>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</si>
  <si>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</si>
  <si>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</si>
  <si>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</si>
  <si>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</si>
  <si>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</si>
  <si>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</si>
  <si>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2.-COMBINACIÓN DE ESTATUS PARA MAPEO</t>
  </si>
  <si>
    <t>3.- EXPORTACIÓN DATOS A EXCEL</t>
  </si>
  <si>
    <t>4.- FACULTADES USUARIOS</t>
  </si>
  <si>
    <t>5.- LLENADO DE FORMATOS CON INFORMACIÓN</t>
  </si>
  <si>
    <t>6.- REPORTES POR CAJÓN EN ESPECÍFICO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</si>
</sst>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&quot;$&quot;#,##0,;[Red]\-&quot;$&quot;#,##0"/>
    <numFmt numFmtId="166" formatCode="&quot;$&quot;#,##0,;\-&quot;$&quot;#,##0"/>
    <numFmt numFmtId="167" formatCode="[$-F800]dddd\,\ mmmm\ dd\,\ yyyy"/>
    <numFmt numFmtId="168" formatCode="&quot;$&quot;#,##0.00,;\-&quot;$&quot;#,##0.00"/>
    <numFmt numFmtId="169" formatCode="dd/mm/yy;@"/>
  </numFmts>
  <fonts count="28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sz val="10"/>
      <color indexed="8"/>
      <name val="MS Sans Serif"/>
      <family val="2"/>
    </font>
    <font>
      <sz val="8"/>
      <color indexed="8"/>
      <name val="Arial Narrow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rgb="FFFFC000"/>
      <name val="Arial Narrow"/>
      <family val="2"/>
    </font>
    <font>
      <sz val="8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sz val="8"/>
      <color rgb="FFFF0000"/>
      <name val="Arial Narrow"/>
      <family val="2"/>
    </font>
    <font>
      <sz val="8"/>
      <color rgb="FFFFFF00"/>
      <name val="Arial Narrow"/>
      <family val="2"/>
    </font>
    <font>
      <sz val="14"/>
      <color rgb="FFFFFF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gray125">
        <fgColor theme="5" tint="-0.24994659260841701"/>
        <bgColor theme="9" tint="0.59999389629810485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gray125">
        <fgColor theme="5" tint="-0.24994659260841701"/>
        <bgColor theme="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281">
    <xf numFmtId="0" fontId="0" fillId="0" borderId="0" xfId="0"/>
    <xf numFmtId="0" fontId="0" fillId="2" borderId="0" xfId="0" applyFill="1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/>
    </xf>
    <xf numFmtId="4" fontId="3" fillId="2" borderId="2" xfId="1" applyNumberFormat="1" applyFont="1" applyFill="1" applyBorder="1" applyAlignment="1">
      <alignment horizontal="right" vertical="center"/>
    </xf>
    <xf numFmtId="4" fontId="3" fillId="2" borderId="2" xfId="1" applyNumberFormat="1" applyFont="1" applyFill="1" applyBorder="1" applyAlignment="1">
      <alignment horizontal="center" vertical="center"/>
    </xf>
    <xf numFmtId="44" fontId="5" fillId="2" borderId="1" xfId="3" applyFont="1" applyFill="1" applyBorder="1" applyAlignment="1">
      <alignment horizontal="center"/>
    </xf>
    <xf numFmtId="0" fontId="5" fillId="2" borderId="1" xfId="3" applyNumberFormat="1" applyFont="1" applyFill="1" applyBorder="1" applyAlignment="1">
      <alignment horizontal="center"/>
    </xf>
    <xf numFmtId="4" fontId="3" fillId="2" borderId="1" xfId="1" applyNumberFormat="1" applyFont="1" applyFill="1" applyBorder="1" applyAlignment="1">
      <alignment horizontal="right" vertical="center"/>
    </xf>
    <xf numFmtId="4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4" fontId="1" fillId="2" borderId="1" xfId="1" applyNumberFormat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center"/>
    </xf>
    <xf numFmtId="4" fontId="1" fillId="2" borderId="1" xfId="1" applyNumberFormat="1" applyFont="1" applyFill="1" applyBorder="1" applyAlignment="1">
      <alignment horizontal="right" vertical="center"/>
    </xf>
    <xf numFmtId="0" fontId="0" fillId="2" borderId="0" xfId="0" applyFill="1" applyBorder="1"/>
    <xf numFmtId="0" fontId="3" fillId="2" borderId="0" xfId="1" applyFont="1" applyFill="1" applyBorder="1" applyAlignment="1">
      <alignment horizontal="center" vertical="center"/>
    </xf>
    <xf numFmtId="10" fontId="5" fillId="2" borderId="0" xfId="2" applyNumberFormat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 wrapText="1"/>
    </xf>
    <xf numFmtId="10" fontId="3" fillId="3" borderId="1" xfId="2" applyNumberFormat="1" applyFont="1" applyFill="1" applyBorder="1" applyAlignment="1">
      <alignment horizontal="center" vertical="center" wrapText="1"/>
    </xf>
    <xf numFmtId="164" fontId="3" fillId="3" borderId="1" xfId="4" applyNumberFormat="1" applyFont="1" applyFill="1" applyBorder="1" applyAlignment="1">
      <alignment horizontal="center" vertical="center" wrapText="1"/>
    </xf>
    <xf numFmtId="10" fontId="5" fillId="4" borderId="1" xfId="2" applyNumberFormat="1" applyFont="1" applyFill="1" applyBorder="1" applyAlignment="1">
      <alignment horizontal="center"/>
    </xf>
    <xf numFmtId="10" fontId="5" fillId="5" borderId="1" xfId="2" applyNumberFormat="1" applyFont="1" applyFill="1" applyBorder="1" applyAlignment="1">
      <alignment horizontal="center"/>
    </xf>
    <xf numFmtId="10" fontId="5" fillId="6" borderId="1" xfId="2" applyNumberFormat="1" applyFont="1" applyFill="1" applyBorder="1" applyAlignment="1">
      <alignment horizontal="center"/>
    </xf>
    <xf numFmtId="14" fontId="5" fillId="2" borderId="1" xfId="3" applyNumberFormat="1" applyFont="1" applyFill="1" applyBorder="1" applyAlignment="1">
      <alignment horizontal="center"/>
    </xf>
    <xf numFmtId="9" fontId="5" fillId="2" borderId="1" xfId="3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1" xfId="0" applyNumberFormat="1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9" borderId="1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165" fontId="7" fillId="8" borderId="1" xfId="0" applyNumberFormat="1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7" fillId="9" borderId="1" xfId="0" applyNumberFormat="1" applyFon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0" fontId="5" fillId="5" borderId="1" xfId="3" applyNumberFormat="1" applyFont="1" applyFill="1" applyBorder="1" applyAlignment="1">
      <alignment horizontal="center"/>
    </xf>
    <xf numFmtId="0" fontId="3" fillId="5" borderId="2" xfId="1" applyFont="1" applyFill="1" applyBorder="1" applyAlignment="1">
      <alignment horizontal="left" vertical="center"/>
    </xf>
    <xf numFmtId="10" fontId="5" fillId="5" borderId="0" xfId="2" applyNumberFormat="1" applyFont="1" applyFill="1" applyBorder="1" applyAlignment="1">
      <alignment horizontal="center"/>
    </xf>
    <xf numFmtId="164" fontId="3" fillId="5" borderId="1" xfId="4" applyNumberFormat="1" applyFont="1" applyFill="1" applyBorder="1" applyAlignment="1">
      <alignment horizontal="center" vertical="center" wrapText="1"/>
    </xf>
    <xf numFmtId="164" fontId="3" fillId="6" borderId="1" xfId="4" applyNumberFormat="1" applyFont="1" applyFill="1" applyBorder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0" fillId="13" borderId="4" xfId="0" applyFill="1" applyBorder="1" applyAlignment="1">
      <alignment horizontal="center" vertical="center"/>
    </xf>
    <xf numFmtId="9" fontId="0" fillId="2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2" borderId="1" xfId="0" applyNumberFormat="1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12" borderId="4" xfId="0" applyFill="1" applyBorder="1" applyAlignment="1">
      <alignment horizontal="center" vertical="center"/>
    </xf>
    <xf numFmtId="0" fontId="5" fillId="2" borderId="1" xfId="3" applyNumberFormat="1" applyFont="1" applyFill="1" applyBorder="1" applyAlignment="1">
      <alignment horizontal="left"/>
    </xf>
    <xf numFmtId="44" fontId="5" fillId="2" borderId="1" xfId="3" applyNumberFormat="1" applyFont="1" applyFill="1" applyBorder="1" applyAlignment="1">
      <alignment horizontal="center"/>
    </xf>
    <xf numFmtId="164" fontId="3" fillId="6" borderId="5" xfId="4" applyNumberFormat="1" applyFont="1" applyFill="1" applyBorder="1" applyAlignment="1">
      <alignment horizontal="center" vertical="center" wrapText="1"/>
    </xf>
    <xf numFmtId="164" fontId="3" fillId="3" borderId="6" xfId="4" applyNumberFormat="1" applyFont="1" applyFill="1" applyBorder="1" applyAlignment="1">
      <alignment horizontal="center" vertical="center" wrapText="1"/>
    </xf>
    <xf numFmtId="0" fontId="5" fillId="2" borderId="2" xfId="3" applyNumberFormat="1" applyFont="1" applyFill="1" applyBorder="1" applyAlignment="1">
      <alignment horizontal="center"/>
    </xf>
    <xf numFmtId="164" fontId="3" fillId="6" borderId="7" xfId="4" applyNumberFormat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10" fontId="3" fillId="3" borderId="5" xfId="2" applyNumberFormat="1" applyFont="1" applyFill="1" applyBorder="1" applyAlignment="1">
      <alignment horizontal="center" vertical="center" wrapText="1"/>
    </xf>
    <xf numFmtId="10" fontId="3" fillId="3" borderId="6" xfId="2" applyNumberFormat="1" applyFont="1" applyFill="1" applyBorder="1" applyAlignment="1">
      <alignment horizontal="center" vertical="center" wrapText="1"/>
    </xf>
    <xf numFmtId="0" fontId="5" fillId="5" borderId="2" xfId="3" applyNumberFormat="1" applyFont="1" applyFill="1" applyBorder="1" applyAlignment="1">
      <alignment horizontal="center"/>
    </xf>
    <xf numFmtId="10" fontId="3" fillId="3" borderId="7" xfId="2" applyNumberFormat="1" applyFont="1" applyFill="1" applyBorder="1" applyAlignment="1">
      <alignment horizontal="center" vertical="center" wrapText="1"/>
    </xf>
    <xf numFmtId="164" fontId="3" fillId="3" borderId="5" xfId="4" applyNumberFormat="1" applyFont="1" applyFill="1" applyBorder="1" applyAlignment="1">
      <alignment horizontal="center" vertical="center" wrapText="1"/>
    </xf>
    <xf numFmtId="164" fontId="3" fillId="5" borderId="6" xfId="4" applyNumberFormat="1" applyFont="1" applyFill="1" applyBorder="1" applyAlignment="1">
      <alignment horizontal="center" vertical="center" wrapText="1"/>
    </xf>
    <xf numFmtId="164" fontId="3" fillId="11" borderId="7" xfId="4" applyNumberFormat="1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6" fillId="10" borderId="0" xfId="0" applyFont="1" applyFill="1" applyAlignment="1">
      <alignment horizontal="center"/>
    </xf>
    <xf numFmtId="164" fontId="3" fillId="6" borderId="0" xfId="4" applyNumberFormat="1" applyFont="1" applyFill="1" applyBorder="1" applyAlignment="1">
      <alignment horizontal="center" vertical="center" wrapText="1"/>
    </xf>
    <xf numFmtId="14" fontId="5" fillId="2" borderId="0" xfId="2" applyNumberFormat="1" applyFont="1" applyFill="1" applyBorder="1" applyAlignment="1">
      <alignment horizontal="center"/>
    </xf>
    <xf numFmtId="43" fontId="5" fillId="2" borderId="0" xfId="4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6" fillId="17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4" borderId="1" xfId="0" applyNumberFormat="1" applyFont="1" applyFill="1" applyBorder="1" applyAlignment="1">
      <alignment horizontal="center"/>
    </xf>
    <xf numFmtId="0" fontId="0" fillId="16" borderId="1" xfId="0" applyNumberFormat="1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166" fontId="0" fillId="12" borderId="1" xfId="0" applyNumberFormat="1" applyFont="1" applyFill="1" applyBorder="1" applyAlignment="1">
      <alignment horizontal="center"/>
    </xf>
    <xf numFmtId="164" fontId="3" fillId="19" borderId="0" xfId="4" applyNumberFormat="1" applyFont="1" applyFill="1" applyBorder="1" applyAlignment="1">
      <alignment horizontal="center" vertical="center" wrapText="1"/>
    </xf>
    <xf numFmtId="0" fontId="0" fillId="2" borderId="0" xfId="0" applyFill="1" applyAlignment="1"/>
    <xf numFmtId="0" fontId="0" fillId="2" borderId="1" xfId="0" applyFill="1" applyBorder="1"/>
    <xf numFmtId="0" fontId="8" fillId="2" borderId="0" xfId="0" applyFont="1" applyFill="1"/>
    <xf numFmtId="1" fontId="0" fillId="2" borderId="1" xfId="0" applyNumberFormat="1" applyFill="1" applyBorder="1" applyAlignment="1">
      <alignment horizontal="center"/>
    </xf>
    <xf numFmtId="164" fontId="3" fillId="18" borderId="1" xfId="4" applyNumberFormat="1" applyFont="1" applyFill="1" applyBorder="1" applyAlignment="1">
      <alignment horizontal="center" vertical="center" wrapText="1"/>
    </xf>
    <xf numFmtId="164" fontId="3" fillId="4" borderId="1" xfId="4" applyNumberFormat="1" applyFont="1" applyFill="1" applyBorder="1" applyAlignment="1">
      <alignment horizontal="center" vertical="center" wrapText="1"/>
    </xf>
    <xf numFmtId="164" fontId="3" fillId="7" borderId="1" xfId="4" applyNumberFormat="1" applyFont="1" applyFill="1" applyBorder="1" applyAlignment="1">
      <alignment horizontal="center" vertical="center" wrapText="1"/>
    </xf>
    <xf numFmtId="164" fontId="3" fillId="15" borderId="1" xfId="4" applyNumberFormat="1" applyFont="1" applyFill="1" applyBorder="1" applyAlignment="1">
      <alignment horizontal="center" vertical="center" wrapText="1"/>
    </xf>
    <xf numFmtId="167" fontId="0" fillId="2" borderId="0" xfId="0" applyNumberFormat="1" applyFill="1"/>
    <xf numFmtId="14" fontId="0" fillId="2" borderId="0" xfId="0" applyNumberFormat="1" applyFill="1"/>
    <xf numFmtId="164" fontId="3" fillId="20" borderId="1" xfId="4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168" fontId="0" fillId="2" borderId="0" xfId="3" applyNumberFormat="1" applyFont="1" applyFill="1" applyAlignment="1">
      <alignment horizontal="center"/>
    </xf>
    <xf numFmtId="164" fontId="0" fillId="2" borderId="1" xfId="4" applyNumberFormat="1" applyFont="1" applyFill="1" applyBorder="1" applyAlignment="1">
      <alignment horizontal="center"/>
    </xf>
    <xf numFmtId="168" fontId="0" fillId="2" borderId="1" xfId="3" applyNumberFormat="1" applyFont="1" applyFill="1" applyBorder="1" applyAlignment="1">
      <alignment horizontal="center"/>
    </xf>
    <xf numFmtId="167" fontId="9" fillId="10" borderId="1" xfId="0" applyNumberFormat="1" applyFont="1" applyFill="1" applyBorder="1"/>
    <xf numFmtId="167" fontId="10" fillId="14" borderId="1" xfId="0" applyNumberFormat="1" applyFont="1" applyFill="1" applyBorder="1"/>
    <xf numFmtId="167" fontId="7" fillId="3" borderId="1" xfId="0" applyNumberFormat="1" applyFont="1" applyFill="1" applyBorder="1"/>
    <xf numFmtId="0" fontId="11" fillId="9" borderId="1" xfId="0" applyFont="1" applyFill="1" applyBorder="1" applyAlignment="1">
      <alignment horizontal="center" vertical="center"/>
    </xf>
    <xf numFmtId="164" fontId="0" fillId="2" borderId="1" xfId="4" applyNumberFormat="1" applyFont="1" applyFill="1" applyBorder="1" applyAlignment="1">
      <alignment horizontal="center" vertical="center"/>
    </xf>
    <xf numFmtId="168" fontId="0" fillId="2" borderId="1" xfId="3" applyNumberFormat="1" applyFont="1" applyFill="1" applyBorder="1" applyAlignment="1">
      <alignment horizontal="center" vertical="center"/>
    </xf>
    <xf numFmtId="0" fontId="12" fillId="2" borderId="0" xfId="0" applyFont="1" applyFill="1"/>
    <xf numFmtId="9" fontId="3" fillId="5" borderId="2" xfId="1" applyNumberFormat="1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center"/>
    </xf>
    <xf numFmtId="0" fontId="10" fillId="13" borderId="1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/>
    </xf>
    <xf numFmtId="0" fontId="10" fillId="4" borderId="1" xfId="0" applyNumberFormat="1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center"/>
    </xf>
    <xf numFmtId="9" fontId="0" fillId="2" borderId="12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left" vertical="center"/>
    </xf>
    <xf numFmtId="164" fontId="13" fillId="8" borderId="0" xfId="4" applyNumberFormat="1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15" fillId="9" borderId="0" xfId="0" applyFont="1" applyFill="1" applyAlignment="1">
      <alignment horizontal="center"/>
    </xf>
    <xf numFmtId="0" fontId="15" fillId="9" borderId="1" xfId="0" applyNumberFormat="1" applyFont="1" applyFill="1" applyBorder="1" applyAlignment="1">
      <alignment horizontal="center"/>
    </xf>
    <xf numFmtId="0" fontId="14" fillId="9" borderId="4" xfId="0" applyFont="1" applyFill="1" applyBorder="1" applyAlignment="1">
      <alignment horizontal="center" vertical="center"/>
    </xf>
    <xf numFmtId="0" fontId="16" fillId="2" borderId="0" xfId="0" applyFont="1" applyFill="1"/>
    <xf numFmtId="0" fontId="14" fillId="9" borderId="0" xfId="0" applyFont="1" applyFill="1" applyAlignment="1">
      <alignment horizontal="center"/>
    </xf>
    <xf numFmtId="0" fontId="14" fillId="9" borderId="4" xfId="0" applyFont="1" applyFill="1" applyBorder="1" applyAlignment="1">
      <alignment horizontal="center"/>
    </xf>
    <xf numFmtId="0" fontId="14" fillId="9" borderId="8" xfId="0" applyFont="1" applyFill="1" applyBorder="1" applyAlignment="1">
      <alignment horizontal="center"/>
    </xf>
    <xf numFmtId="14" fontId="5" fillId="2" borderId="1" xfId="3" applyNumberFormat="1" applyFont="1" applyFill="1" applyBorder="1" applyAlignment="1">
      <alignment horizontal="left"/>
    </xf>
    <xf numFmtId="0" fontId="15" fillId="9" borderId="14" xfId="0" applyNumberFormat="1" applyFont="1" applyFill="1" applyBorder="1" applyAlignment="1">
      <alignment horizontal="center"/>
    </xf>
    <xf numFmtId="0" fontId="0" fillId="2" borderId="14" xfId="0" applyNumberFormat="1" applyFill="1" applyBorder="1" applyAlignment="1">
      <alignment horizontal="center"/>
    </xf>
    <xf numFmtId="0" fontId="0" fillId="12" borderId="15" xfId="0" applyNumberFormat="1" applyFont="1" applyFill="1" applyBorder="1" applyAlignment="1">
      <alignment horizontal="center"/>
    </xf>
    <xf numFmtId="0" fontId="14" fillId="9" borderId="13" xfId="0" applyFont="1" applyFill="1" applyBorder="1" applyAlignment="1">
      <alignment horizontal="center"/>
    </xf>
    <xf numFmtId="0" fontId="15" fillId="9" borderId="16" xfId="0" applyNumberFormat="1" applyFont="1" applyFill="1" applyBorder="1" applyAlignment="1">
      <alignment horizontal="center"/>
    </xf>
    <xf numFmtId="9" fontId="5" fillId="2" borderId="1" xfId="2" applyFont="1" applyFill="1" applyBorder="1" applyAlignment="1">
      <alignment horizontal="center"/>
    </xf>
    <xf numFmtId="0" fontId="6" fillId="2" borderId="0" xfId="0" applyFont="1" applyFill="1"/>
    <xf numFmtId="0" fontId="0" fillId="12" borderId="1" xfId="0" applyNumberFormat="1" applyFill="1" applyBorder="1" applyAlignment="1">
      <alignment horizontal="center"/>
    </xf>
    <xf numFmtId="166" fontId="0" fillId="12" borderId="1" xfId="0" applyNumberFormat="1" applyFill="1" applyBorder="1" applyAlignment="1">
      <alignment horizontal="center"/>
    </xf>
    <xf numFmtId="10" fontId="3" fillId="3" borderId="0" xfId="2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7" fillId="21" borderId="1" xfId="0" applyNumberFormat="1" applyFont="1" applyFill="1" applyBorder="1" applyAlignment="1">
      <alignment horizontal="center"/>
    </xf>
    <xf numFmtId="4" fontId="1" fillId="2" borderId="2" xfId="1" applyNumberFormat="1" applyFont="1" applyFill="1" applyBorder="1" applyAlignment="1">
      <alignment horizontal="right" vertical="center"/>
    </xf>
    <xf numFmtId="0" fontId="17" fillId="9" borderId="0" xfId="0" applyFont="1" applyFill="1" applyAlignment="1">
      <alignment horizontal="center"/>
    </xf>
    <xf numFmtId="0" fontId="17" fillId="9" borderId="4" xfId="0" applyFont="1" applyFill="1" applyBorder="1" applyAlignment="1">
      <alignment horizontal="center" vertical="center"/>
    </xf>
    <xf numFmtId="0" fontId="0" fillId="22" borderId="0" xfId="0" applyFill="1" applyAlignment="1">
      <alignment horizontal="center"/>
    </xf>
    <xf numFmtId="0" fontId="0" fillId="22" borderId="1" xfId="0" applyNumberFormat="1" applyFill="1" applyBorder="1" applyAlignment="1">
      <alignment horizontal="center"/>
    </xf>
    <xf numFmtId="0" fontId="0" fillId="22" borderId="3" xfId="0" applyFill="1" applyBorder="1" applyAlignment="1">
      <alignment horizontal="center"/>
    </xf>
    <xf numFmtId="14" fontId="5" fillId="2" borderId="2" xfId="3" applyNumberFormat="1" applyFont="1" applyFill="1" applyBorder="1" applyAlignment="1">
      <alignment horizontal="center"/>
    </xf>
    <xf numFmtId="164" fontId="18" fillId="5" borderId="0" xfId="4" applyNumberFormat="1" applyFont="1" applyFill="1" applyBorder="1" applyAlignment="1">
      <alignment horizontal="center" vertical="center" wrapText="1"/>
    </xf>
    <xf numFmtId="9" fontId="5" fillId="2" borderId="2" xfId="3" applyNumberFormat="1" applyFont="1" applyFill="1" applyBorder="1" applyAlignment="1">
      <alignment horizontal="center"/>
    </xf>
    <xf numFmtId="44" fontId="5" fillId="2" borderId="2" xfId="3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17" borderId="1" xfId="0" applyNumberFormat="1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1" xfId="0" applyNumberFormat="1" applyFill="1" applyBorder="1" applyAlignment="1">
      <alignment horizontal="center"/>
    </xf>
    <xf numFmtId="0" fontId="0" fillId="9" borderId="1" xfId="0" applyNumberFormat="1" applyFill="1" applyBorder="1" applyAlignment="1">
      <alignment horizontal="center"/>
    </xf>
    <xf numFmtId="0" fontId="6" fillId="22" borderId="0" xfId="0" applyFont="1" applyFill="1" applyBorder="1" applyAlignment="1">
      <alignment horizontal="center"/>
    </xf>
    <xf numFmtId="0" fontId="6" fillId="22" borderId="3" xfId="0" applyFont="1" applyFill="1" applyBorder="1" applyAlignment="1">
      <alignment horizontal="center"/>
    </xf>
    <xf numFmtId="0" fontId="6" fillId="9" borderId="0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9" fillId="9" borderId="4" xfId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13" borderId="0" xfId="0" applyFill="1"/>
    <xf numFmtId="0" fontId="19" fillId="9" borderId="5" xfId="1" applyFont="1" applyFill="1" applyBorder="1" applyAlignment="1">
      <alignment horizontal="center" vertical="center" wrapText="1"/>
    </xf>
    <xf numFmtId="0" fontId="19" fillId="9" borderId="3" xfId="1" applyFont="1" applyFill="1" applyBorder="1" applyAlignment="1">
      <alignment horizontal="center" vertical="center" wrapText="1"/>
    </xf>
    <xf numFmtId="0" fontId="19" fillId="9" borderId="0" xfId="1" applyFont="1" applyFill="1" applyBorder="1" applyAlignment="1">
      <alignment horizontal="center" vertical="center" wrapText="1"/>
    </xf>
    <xf numFmtId="10" fontId="19" fillId="9" borderId="4" xfId="2" applyNumberFormat="1" applyFont="1" applyFill="1" applyBorder="1" applyAlignment="1">
      <alignment horizontal="center" vertical="center" wrapText="1"/>
    </xf>
    <xf numFmtId="0" fontId="0" fillId="6" borderId="0" xfId="0" applyFill="1"/>
    <xf numFmtId="0" fontId="0" fillId="13" borderId="1" xfId="0" applyFill="1" applyBorder="1"/>
    <xf numFmtId="49" fontId="0" fillId="2" borderId="1" xfId="0" applyNumberFormat="1" applyFill="1" applyBorder="1" applyAlignment="1">
      <alignment horizontal="center"/>
    </xf>
    <xf numFmtId="0" fontId="19" fillId="9" borderId="0" xfId="1" applyFont="1" applyFill="1" applyBorder="1" applyAlignment="1">
      <alignment horizontal="center" vertical="center" wrapText="1"/>
    </xf>
    <xf numFmtId="49" fontId="0" fillId="2" borderId="0" xfId="0" applyNumberFormat="1" applyFill="1"/>
    <xf numFmtId="0" fontId="19" fillId="9" borderId="17" xfId="1" applyFont="1" applyFill="1" applyBorder="1" applyAlignment="1">
      <alignment horizontal="center" vertical="center" wrapText="1"/>
    </xf>
    <xf numFmtId="44" fontId="0" fillId="2" borderId="1" xfId="3" applyFont="1" applyFill="1" applyBorder="1"/>
    <xf numFmtId="49" fontId="20" fillId="6" borderId="1" xfId="0" applyNumberFormat="1" applyFont="1" applyFill="1" applyBorder="1"/>
    <xf numFmtId="10" fontId="19" fillId="9" borderId="1" xfId="2" applyNumberFormat="1" applyFont="1" applyFill="1" applyBorder="1" applyAlignment="1">
      <alignment horizontal="center" vertical="center" wrapText="1"/>
    </xf>
    <xf numFmtId="0" fontId="5" fillId="13" borderId="1" xfId="3" applyNumberFormat="1" applyFont="1" applyFill="1" applyBorder="1" applyAlignment="1">
      <alignment horizontal="center"/>
    </xf>
    <xf numFmtId="10" fontId="19" fillId="9" borderId="0" xfId="2" applyNumberFormat="1" applyFont="1" applyFill="1" applyBorder="1" applyAlignment="1">
      <alignment horizontal="center" vertical="center" wrapText="1"/>
    </xf>
    <xf numFmtId="10" fontId="19" fillId="9" borderId="17" xfId="2" applyNumberFormat="1" applyFont="1" applyFill="1" applyBorder="1" applyAlignment="1">
      <alignment horizontal="center" vertical="center" wrapText="1"/>
    </xf>
    <xf numFmtId="14" fontId="0" fillId="2" borderId="1" xfId="0" applyNumberFormat="1" applyFill="1" applyBorder="1"/>
    <xf numFmtId="44" fontId="0" fillId="13" borderId="1" xfId="3" applyFont="1" applyFill="1" applyBorder="1"/>
    <xf numFmtId="9" fontId="0" fillId="13" borderId="1" xfId="2" applyFont="1" applyFill="1" applyBorder="1" applyAlignment="1">
      <alignment horizontal="center"/>
    </xf>
    <xf numFmtId="9" fontId="0" fillId="2" borderId="0" xfId="2" applyFont="1" applyFill="1" applyAlignment="1">
      <alignment horizontal="center"/>
    </xf>
    <xf numFmtId="49" fontId="0" fillId="2" borderId="1" xfId="3" applyNumberFormat="1" applyFont="1" applyFill="1" applyBorder="1"/>
    <xf numFmtId="169" fontId="0" fillId="2" borderId="1" xfId="3" applyNumberFormat="1" applyFont="1" applyFill="1" applyBorder="1"/>
    <xf numFmtId="169" fontId="0" fillId="2" borderId="0" xfId="0" applyNumberFormat="1" applyFill="1"/>
    <xf numFmtId="164" fontId="19" fillId="9" borderId="0" xfId="4" applyNumberFormat="1" applyFont="1" applyFill="1" applyBorder="1" applyAlignment="1">
      <alignment horizontal="center" vertical="center" wrapText="1"/>
    </xf>
    <xf numFmtId="0" fontId="5" fillId="13" borderId="2" xfId="3" applyNumberFormat="1" applyFont="1" applyFill="1" applyBorder="1" applyAlignment="1">
      <alignment horizontal="center"/>
    </xf>
    <xf numFmtId="164" fontId="19" fillId="9" borderId="1" xfId="4" applyNumberFormat="1" applyFont="1" applyFill="1" applyBorder="1" applyAlignment="1">
      <alignment horizontal="center" vertical="center" wrapText="1"/>
    </xf>
    <xf numFmtId="0" fontId="5" fillId="12" borderId="1" xfId="3" applyNumberFormat="1" applyFont="1" applyFill="1" applyBorder="1" applyAlignment="1">
      <alignment horizontal="center"/>
    </xf>
    <xf numFmtId="164" fontId="19" fillId="9" borderId="1" xfId="4" applyNumberFormat="1" applyFon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/>
    </xf>
    <xf numFmtId="0" fontId="5" fillId="2" borderId="1" xfId="3" applyNumberFormat="1" applyFont="1" applyFill="1" applyBorder="1" applyAlignment="1">
      <alignment horizontal="center"/>
    </xf>
    <xf numFmtId="44" fontId="17" fillId="6" borderId="2" xfId="3" applyFont="1" applyFill="1" applyBorder="1" applyAlignment="1">
      <alignment horizontal="center"/>
    </xf>
    <xf numFmtId="0" fontId="21" fillId="5" borderId="1" xfId="3" applyNumberFormat="1" applyFont="1" applyFill="1" applyBorder="1" applyAlignment="1">
      <alignment horizontal="center"/>
    </xf>
    <xf numFmtId="0" fontId="5" fillId="24" borderId="2" xfId="3" applyNumberFormat="1" applyFont="1" applyFill="1" applyBorder="1" applyAlignment="1">
      <alignment horizontal="center"/>
    </xf>
    <xf numFmtId="164" fontId="19" fillId="9" borderId="5" xfId="4" applyNumberFormat="1" applyFont="1" applyFill="1" applyBorder="1" applyAlignment="1">
      <alignment horizontal="center" vertical="center" wrapText="1"/>
    </xf>
    <xf numFmtId="0" fontId="23" fillId="2" borderId="1" xfId="5" applyNumberFormat="1" applyFont="1" applyFill="1" applyBorder="1" applyAlignment="1">
      <alignment horizontal="left"/>
    </xf>
    <xf numFmtId="0" fontId="5" fillId="2" borderId="18" xfId="0" applyFont="1" applyFill="1" applyBorder="1" applyAlignment="1">
      <alignment horizontal="justify" vertical="justify"/>
    </xf>
    <xf numFmtId="0" fontId="5" fillId="2" borderId="19" xfId="0" applyFont="1" applyFill="1" applyBorder="1" applyAlignment="1">
      <alignment horizontal="justify" vertical="justify"/>
    </xf>
    <xf numFmtId="0" fontId="5" fillId="2" borderId="20" xfId="0" applyFont="1" applyFill="1" applyBorder="1" applyAlignment="1">
      <alignment horizontal="justify" vertical="justify"/>
    </xf>
    <xf numFmtId="0" fontId="5" fillId="2" borderId="21" xfId="0" applyFont="1" applyFill="1" applyBorder="1" applyAlignment="1">
      <alignment horizontal="justify" vertical="justify"/>
    </xf>
    <xf numFmtId="0" fontId="7" fillId="2" borderId="0" xfId="0" applyFont="1" applyFill="1"/>
    <xf numFmtId="0" fontId="5" fillId="2" borderId="22" xfId="0" applyFont="1" applyFill="1" applyBorder="1" applyAlignment="1">
      <alignment horizontal="justify" vertical="justify"/>
    </xf>
    <xf numFmtId="0" fontId="5" fillId="2" borderId="23" xfId="0" applyFont="1" applyFill="1" applyBorder="1" applyAlignment="1">
      <alignment horizontal="justify" vertical="justify"/>
    </xf>
    <xf numFmtId="164" fontId="19" fillId="9" borderId="1" xfId="4" applyNumberFormat="1" applyFont="1" applyFill="1" applyBorder="1" applyAlignment="1">
      <alignment horizontal="left" vertical="center" wrapText="1"/>
    </xf>
    <xf numFmtId="0" fontId="24" fillId="25" borderId="1" xfId="3" applyNumberFormat="1" applyFont="1" applyFill="1" applyBorder="1" applyAlignment="1">
      <alignment horizontal="left"/>
    </xf>
    <xf numFmtId="49" fontId="6" fillId="25" borderId="1" xfId="0" applyNumberFormat="1" applyFont="1" applyFill="1" applyBorder="1" applyAlignment="1">
      <alignment horizontal="center"/>
    </xf>
    <xf numFmtId="0" fontId="6" fillId="25" borderId="1" xfId="0" applyNumberFormat="1" applyFont="1" applyFill="1" applyBorder="1" applyAlignment="1">
      <alignment horizontal="center"/>
    </xf>
    <xf numFmtId="0" fontId="0" fillId="25" borderId="0" xfId="0" applyFill="1"/>
    <xf numFmtId="44" fontId="24" fillId="25" borderId="1" xfId="3" applyNumberFormat="1" applyFont="1" applyFill="1" applyBorder="1" applyAlignment="1">
      <alignment horizontal="left"/>
    </xf>
    <xf numFmtId="49" fontId="6" fillId="25" borderId="1" xfId="0" applyNumberFormat="1" applyFont="1" applyFill="1" applyBorder="1"/>
    <xf numFmtId="0" fontId="24" fillId="25" borderId="1" xfId="3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49" fontId="6" fillId="25" borderId="1" xfId="0" applyNumberFormat="1" applyFont="1" applyFill="1" applyBorder="1" applyAlignment="1">
      <alignment horizontal="center"/>
    </xf>
    <xf numFmtId="0" fontId="0" fillId="2" borderId="0" xfId="0" applyNumberFormat="1" applyFill="1" applyAlignment="1">
      <alignment horizontal="center"/>
    </xf>
    <xf numFmtId="164" fontId="19" fillId="9" borderId="6" xfId="4" applyNumberFormat="1" applyFont="1" applyFill="1" applyBorder="1" applyAlignment="1">
      <alignment horizontal="center" vertical="center" wrapText="1"/>
    </xf>
    <xf numFmtId="44" fontId="6" fillId="25" borderId="1" xfId="3" applyFont="1" applyFill="1" applyBorder="1"/>
    <xf numFmtId="49" fontId="24" fillId="25" borderId="1" xfId="3" applyNumberFormat="1" applyFont="1" applyFill="1" applyBorder="1" applyAlignment="1">
      <alignment horizontal="center"/>
    </xf>
    <xf numFmtId="44" fontId="24" fillId="25" borderId="1" xfId="3" applyNumberFormat="1" applyFont="1" applyFill="1" applyBorder="1" applyAlignment="1">
      <alignment horizontal="center"/>
    </xf>
    <xf numFmtId="44" fontId="24" fillId="25" borderId="1" xfId="3" applyFont="1" applyFill="1" applyBorder="1" applyAlignment="1">
      <alignment horizontal="center"/>
    </xf>
    <xf numFmtId="14" fontId="6" fillId="25" borderId="1" xfId="0" applyNumberFormat="1" applyFont="1" applyFill="1" applyBorder="1"/>
    <xf numFmtId="0" fontId="6" fillId="25" borderId="1" xfId="0" applyFont="1" applyFill="1" applyBorder="1"/>
    <xf numFmtId="44" fontId="5" fillId="25" borderId="1" xfId="3" applyFont="1" applyFill="1" applyBorder="1" applyAlignment="1">
      <alignment horizontal="center"/>
    </xf>
    <xf numFmtId="0" fontId="0" fillId="25" borderId="1" xfId="0" applyFill="1" applyBorder="1"/>
    <xf numFmtId="0" fontId="17" fillId="6" borderId="1" xfId="3" applyNumberFormat="1" applyFont="1" applyFill="1" applyBorder="1" applyAlignment="1">
      <alignment horizontal="center"/>
    </xf>
    <xf numFmtId="14" fontId="5" fillId="23" borderId="1" xfId="3" applyNumberFormat="1" applyFont="1" applyFill="1" applyBorder="1" applyAlignment="1">
      <alignment horizontal="center"/>
    </xf>
    <xf numFmtId="0" fontId="5" fillId="23" borderId="1" xfId="3" applyNumberFormat="1" applyFont="1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0" fontId="17" fillId="6" borderId="2" xfId="3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9" fontId="25" fillId="2" borderId="0" xfId="0" applyNumberFormat="1" applyFont="1" applyFill="1" applyAlignment="1">
      <alignment horizontal="center"/>
    </xf>
    <xf numFmtId="0" fontId="25" fillId="2" borderId="0" xfId="0" applyFont="1" applyFill="1" applyAlignment="1">
      <alignment horizontal="center"/>
    </xf>
    <xf numFmtId="0" fontId="19" fillId="9" borderId="1" xfId="1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/>
    </xf>
    <xf numFmtId="49" fontId="20" fillId="6" borderId="1" xfId="0" applyNumberFormat="1" applyFont="1" applyFill="1" applyBorder="1" applyAlignment="1">
      <alignment horizontal="center"/>
    </xf>
    <xf numFmtId="44" fontId="5" fillId="23" borderId="1" xfId="3" applyFont="1" applyFill="1" applyBorder="1" applyAlignment="1">
      <alignment horizontal="center"/>
    </xf>
    <xf numFmtId="14" fontId="0" fillId="23" borderId="1" xfId="0" applyNumberFormat="1" applyFill="1" applyBorder="1"/>
    <xf numFmtId="0" fontId="0" fillId="23" borderId="1" xfId="0" applyFill="1" applyBorder="1"/>
    <xf numFmtId="0" fontId="7" fillId="9" borderId="1" xfId="0" applyFont="1" applyFill="1" applyBorder="1" applyAlignment="1">
      <alignment horizontal="center"/>
    </xf>
    <xf numFmtId="0" fontId="19" fillId="9" borderId="6" xfId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/>
    </xf>
    <xf numFmtId="0" fontId="10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0" fillId="4" borderId="0" xfId="0" applyFill="1"/>
    <xf numFmtId="0" fontId="0" fillId="4" borderId="29" xfId="0" applyFill="1" applyBorder="1"/>
    <xf numFmtId="0" fontId="10" fillId="4" borderId="30" xfId="0" applyFont="1" applyFill="1" applyBorder="1"/>
    <xf numFmtId="0" fontId="0" fillId="4" borderId="30" xfId="0" applyFill="1" applyBorder="1"/>
    <xf numFmtId="0" fontId="0" fillId="4" borderId="31" xfId="0" applyFill="1" applyBorder="1"/>
    <xf numFmtId="0" fontId="10" fillId="4" borderId="29" xfId="0" applyFont="1" applyFill="1" applyBorder="1"/>
  </cellXfs>
  <cellStyles count="6">
    <cellStyle name="Hipervínculo" xfId="5" builtinId="8"/>
    <cellStyle name="Millares" xfId="4" builtinId="3"/>
    <cellStyle name="Moneda" xfId="3" builtinId="4"/>
    <cellStyle name="Normal" xfId="0" builtinId="0"/>
    <cellStyle name="Normal_Hoja1" xfId="1"/>
    <cellStyle name="Porcentaje" xfId="2" builtinId="5"/>
  </cellStyles>
  <dxfs count="2271">
    <dxf>
      <numFmt numFmtId="0" formatCode="General"/>
    </dxf>
    <dxf>
      <fill>
        <patternFill>
          <bgColor rgb="FFFFC000"/>
        </patternFill>
      </fill>
    </dxf>
    <dxf>
      <border>
        <left style="thin">
          <color indexed="64"/>
        </left>
        <top style="thin">
          <color indexed="64"/>
        </top>
      </border>
    </dxf>
    <dxf>
      <font>
        <color theme="0"/>
      </font>
    </dxf>
    <dxf>
      <font>
        <color theme="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0"/>
        </patternFill>
      </fill>
    </dxf>
    <dxf>
      <numFmt numFmtId="34" formatCode="_-&quot;$&quot;* #,##0.00_-;\-&quot;$&quot;* #,##0.00_-;_-&quot;$&quot;* &quot;-&quot;??_-;_-@_-"/>
    </dxf>
    <dxf>
      <font>
        <color theme="0"/>
      </font>
    </dxf>
    <dxf>
      <font>
        <color rgb="FFFFC000"/>
      </font>
    </dxf>
    <dxf>
      <fill>
        <patternFill>
          <bgColor theme="3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sz val="8"/>
      </font>
    </dxf>
    <dxf>
      <font>
        <color theme="0"/>
      </font>
    </dxf>
    <dxf>
      <font>
        <color theme="0"/>
      </font>
    </dxf>
    <dxf>
      <fill>
        <patternFill>
          <bgColor theme="4"/>
        </patternFill>
      </fill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numFmt numFmtId="0" formatCode="General"/>
    </dxf>
    <dxf>
      <fill>
        <patternFill>
          <bgColor rgb="FFFFC000"/>
        </patternFill>
      </fill>
    </dxf>
    <dxf>
      <border>
        <left style="thin">
          <color indexed="64"/>
        </left>
        <top style="thin">
          <color indexed="64"/>
        </top>
      </border>
    </dxf>
    <dxf>
      <font>
        <color theme="0"/>
      </font>
    </dxf>
    <dxf>
      <font>
        <color theme="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0"/>
        </patternFill>
      </fill>
    </dxf>
    <dxf>
      <numFmt numFmtId="34" formatCode="_-&quot;$&quot;* #,##0.00_-;\-&quot;$&quot;* #,##0.00_-;_-&quot;$&quot;* &quot;-&quot;??_-;_-@_-"/>
    </dxf>
    <dxf>
      <font>
        <color theme="0"/>
      </font>
    </dxf>
    <dxf>
      <font>
        <color rgb="FFFFC000"/>
      </font>
    </dxf>
    <dxf>
      <fill>
        <patternFill>
          <bgColor theme="3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sz val="8"/>
      </font>
    </dxf>
    <dxf>
      <font>
        <color theme="0"/>
      </font>
    </dxf>
    <dxf>
      <font>
        <color theme="0"/>
      </font>
    </dxf>
    <dxf>
      <fill>
        <patternFill>
          <bgColor theme="4"/>
        </patternFill>
      </fill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numFmt numFmtId="0" formatCode="General"/>
    </dxf>
    <dxf>
      <fill>
        <patternFill>
          <bgColor rgb="FFFFC000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ont>
        <color theme="0"/>
      </font>
    </dxf>
    <dxf>
      <font>
        <color theme="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0"/>
        </patternFill>
      </fill>
    </dxf>
    <dxf>
      <numFmt numFmtId="34" formatCode="_-&quot;$&quot;* #,##0.00_-;\-&quot;$&quot;* #,##0.00_-;_-&quot;$&quot;* &quot;-&quot;??_-;_-@_-"/>
    </dxf>
    <dxf>
      <font>
        <color theme="0"/>
      </font>
    </dxf>
    <dxf>
      <font>
        <color rgb="FFFFC000"/>
      </font>
    </dxf>
    <dxf>
      <fill>
        <patternFill>
          <bgColor theme="3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sz val="8"/>
      </font>
    </dxf>
    <dxf>
      <font>
        <color theme="0"/>
      </font>
    </dxf>
    <dxf>
      <font>
        <color theme="0"/>
      </font>
    </dxf>
    <dxf>
      <fill>
        <patternFill>
          <bgColor theme="4"/>
        </patternFill>
      </fill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numFmt numFmtId="0" formatCode="General"/>
    </dxf>
    <dxf>
      <fill>
        <patternFill>
          <bgColor rgb="FFFFC000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ont>
        <color theme="0"/>
      </font>
    </dxf>
    <dxf>
      <font>
        <color theme="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0"/>
        </patternFill>
      </fill>
    </dxf>
    <dxf>
      <numFmt numFmtId="34" formatCode="_-&quot;$&quot;* #,##0.00_-;\-&quot;$&quot;* #,##0.00_-;_-&quot;$&quot;* &quot;-&quot;??_-;_-@_-"/>
    </dxf>
    <dxf>
      <font>
        <color theme="0"/>
      </font>
    </dxf>
    <dxf>
      <font>
        <color rgb="FFFFC000"/>
      </font>
    </dxf>
    <dxf>
      <fill>
        <patternFill>
          <bgColor theme="3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sz val="8"/>
      </font>
    </dxf>
    <dxf>
      <font>
        <color theme="0"/>
      </font>
    </dxf>
    <dxf>
      <font>
        <color theme="0"/>
      </font>
    </dxf>
    <dxf>
      <fill>
        <patternFill>
          <bgColor theme="4"/>
        </patternFill>
      </fill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numFmt numFmtId="0" formatCode="General"/>
    </dxf>
    <dxf>
      <fill>
        <patternFill>
          <bgColor rgb="FFFFC000"/>
        </patternFill>
      </fill>
    </dxf>
    <dxf>
      <border>
        <left style="thin">
          <color indexed="64"/>
        </left>
        <top style="thin">
          <color indexed="64"/>
        </top>
      </border>
    </dxf>
    <dxf>
      <font>
        <color theme="0"/>
      </font>
    </dxf>
    <dxf>
      <font>
        <color theme="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0"/>
        </patternFill>
      </fill>
    </dxf>
    <dxf>
      <numFmt numFmtId="34" formatCode="_-&quot;$&quot;* #,##0.00_-;\-&quot;$&quot;* #,##0.00_-;_-&quot;$&quot;* &quot;-&quot;??_-;_-@_-"/>
    </dxf>
    <dxf>
      <font>
        <color theme="0"/>
      </font>
    </dxf>
    <dxf>
      <font>
        <color rgb="FFFFC000"/>
      </font>
    </dxf>
    <dxf>
      <fill>
        <patternFill>
          <bgColor theme="3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sz val="8"/>
      </font>
    </dxf>
    <dxf>
      <font>
        <color theme="0"/>
      </font>
    </dxf>
    <dxf>
      <font>
        <color theme="0"/>
      </font>
    </dxf>
    <dxf>
      <fill>
        <patternFill>
          <bgColor theme="4"/>
        </patternFill>
      </fill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numFmt numFmtId="0" formatCode="General"/>
    </dxf>
    <dxf>
      <fill>
        <patternFill>
          <bgColor rgb="FFFFC000"/>
        </patternFill>
      </fill>
    </dxf>
    <dxf>
      <border>
        <left style="thin">
          <color indexed="64"/>
        </left>
        <top style="thin">
          <color indexed="64"/>
        </top>
      </border>
    </dxf>
    <dxf>
      <font>
        <color theme="0"/>
      </font>
    </dxf>
    <dxf>
      <font>
        <color theme="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0"/>
        </patternFill>
      </fill>
    </dxf>
    <dxf>
      <numFmt numFmtId="34" formatCode="_-&quot;$&quot;* #,##0.00_-;\-&quot;$&quot;* #,##0.00_-;_-&quot;$&quot;* &quot;-&quot;??_-;_-@_-"/>
    </dxf>
    <dxf>
      <font>
        <color theme="0"/>
      </font>
    </dxf>
    <dxf>
      <font>
        <color rgb="FFFFC000"/>
      </font>
    </dxf>
    <dxf>
      <fill>
        <patternFill>
          <bgColor theme="3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sz val="8"/>
      </font>
    </dxf>
    <dxf>
      <font>
        <color theme="0"/>
      </font>
    </dxf>
    <dxf>
      <font>
        <color theme="0"/>
      </font>
    </dxf>
    <dxf>
      <fill>
        <patternFill>
          <bgColor theme="4"/>
        </patternFill>
      </fill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font>
        <color theme="0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sz val="8"/>
        <color rgb="FFFFC000"/>
      </font>
      <fill>
        <patternFill>
          <bgColor indexed="64"/>
        </patternFill>
      </fill>
    </dxf>
    <dxf>
      <font>
        <sz val="8"/>
        <color rgb="FFFFC000"/>
      </font>
      <fill>
        <patternFill>
          <bgColor indexed="64"/>
        </patternFill>
      </fill>
    </dxf>
    <dxf>
      <font>
        <color rgb="FFFFC000"/>
      </font>
    </dxf>
    <dxf>
      <fill>
        <patternFill>
          <bgColor theme="3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sz val="8"/>
      </font>
    </dxf>
    <dxf>
      <font>
        <color theme="0"/>
      </font>
    </dxf>
    <dxf>
      <font>
        <color theme="0"/>
      </font>
    </dxf>
    <dxf>
      <fill>
        <patternFill>
          <bgColor theme="4"/>
        </patternFill>
      </fill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font>
        <color theme="0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sz val="8"/>
        <color rgb="FFFFC000"/>
      </font>
      <fill>
        <patternFill>
          <bgColor indexed="64"/>
        </patternFill>
      </fill>
    </dxf>
    <dxf>
      <font>
        <sz val="8"/>
        <color rgb="FFFFC000"/>
      </font>
      <fill>
        <patternFill>
          <bgColor indexed="64"/>
        </patternFill>
      </fill>
    </dxf>
    <dxf>
      <font>
        <color rgb="FFFFC000"/>
      </font>
    </dxf>
    <dxf>
      <fill>
        <patternFill>
          <bgColor theme="3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sz val="8"/>
      </font>
    </dxf>
    <dxf>
      <font>
        <color theme="0"/>
      </font>
    </dxf>
    <dxf>
      <font>
        <color theme="0"/>
      </font>
    </dxf>
    <dxf>
      <fill>
        <patternFill>
          <bgColor theme="4"/>
        </patternFill>
      </fill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font>
        <color theme="0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rgb="FFFFC000"/>
      </font>
    </dxf>
    <dxf>
      <fill>
        <patternFill>
          <bgColor theme="3"/>
        </patternFill>
      </fill>
    </dxf>
    <dxf>
      <font>
        <color rgb="FFFFC000"/>
      </font>
    </dxf>
    <dxf>
      <font>
        <color rgb="FFFFC0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sz val="8"/>
      </font>
    </dxf>
    <dxf>
      <font>
        <sz val="8"/>
      </font>
    </dxf>
    <dxf>
      <font>
        <color theme="0"/>
      </font>
    </dxf>
    <dxf>
      <font>
        <color theme="0"/>
      </font>
    </dxf>
    <dxf>
      <fill>
        <patternFill>
          <bgColor theme="4"/>
        </patternFill>
      </fill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font>
        <color theme="0"/>
      </font>
    </dxf>
    <dxf>
      <font>
        <color theme="0"/>
      </font>
    </dxf>
    <dxf>
      <fill>
        <patternFill>
          <bgColor theme="4"/>
        </patternFill>
      </fill>
    </dxf>
    <dxf>
      <fill>
        <patternFill>
          <bgColor theme="4"/>
        </patternFill>
      </fill>
    </dxf>
    <dxf>
      <numFmt numFmtId="166" formatCode="&quot;$&quot;#,##0,;\-&quot;$&quot;#,##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font>
        <color theme="0"/>
      </font>
    </dxf>
    <dxf>
      <font>
        <color theme="0"/>
      </font>
    </dxf>
    <dxf>
      <fill>
        <patternFill>
          <bgColor theme="4"/>
        </patternFill>
      </fill>
    </dxf>
    <dxf>
      <fill>
        <patternFill>
          <bgColor theme="4"/>
        </patternFill>
      </fill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font>
        <color theme="0"/>
      </font>
    </dxf>
    <dxf>
      <numFmt numFmtId="166" formatCode="&quot;$&quot;#,##0,;\-&quot;$&quot;#,##0"/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color theme="0"/>
      </font>
    </dxf>
    <dxf>
      <font>
        <color theme="0"/>
      </font>
    </dxf>
    <dxf>
      <numFmt numFmtId="166" formatCode="&quot;$&quot;#,##0,;\-&quot;$&quot;#,##0"/>
    </dxf>
    <dxf>
      <font>
        <color theme="0"/>
      </font>
    </dxf>
    <dxf>
      <font>
        <color theme="0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font>
        <color theme="0"/>
      </font>
    </dxf>
    <dxf>
      <font>
        <color theme="0"/>
      </font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numFmt numFmtId="166" formatCode="&quot;$&quot;#,##0,;\-&quot;$&quot;#,##0"/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font>
        <color theme="0"/>
      </font>
    </dxf>
    <dxf>
      <font>
        <color theme="0"/>
      </font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border>
        <top style="thin">
          <color indexed="64"/>
        </top>
      </border>
    </dxf>
    <dxf>
      <border>
        <bottom/>
      </border>
    </dxf>
    <dxf>
      <border>
        <bottom/>
      </border>
    </dxf>
    <dxf>
      <border>
        <bottom/>
      </border>
    </dxf>
    <dxf>
      <border>
        <bottom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C000"/>
        </patternFill>
      </fill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fill>
        <patternFill>
          <bgColor theme="3"/>
        </patternFill>
      </fill>
    </dxf>
    <dxf>
      <font>
        <color theme="0"/>
      </font>
    </dxf>
    <dxf>
      <font>
        <color theme="0"/>
      </font>
    </dxf>
    <dxf>
      <fill>
        <patternFill>
          <bgColor theme="5" tint="0.59999389629810485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ont>
        <sz val="8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sz val="8"/>
      </font>
    </dxf>
    <dxf>
      <font>
        <sz val="8"/>
      </font>
    </dxf>
    <dxf>
      <border>
        <top style="thin">
          <color indexed="64"/>
        </top>
      </border>
    </dxf>
    <dxf>
      <border>
        <bottom/>
      </border>
    </dxf>
    <dxf>
      <border>
        <bottom/>
      </border>
    </dxf>
    <dxf>
      <border>
        <bottom/>
      </border>
    </dxf>
    <dxf>
      <border>
        <bottom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5" tint="0.59999389629810485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ont>
        <sz val="8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sz val="8"/>
      </font>
    </dxf>
    <dxf>
      <font>
        <sz val="8"/>
      </font>
    </dxf>
    <dxf>
      <border>
        <top style="thin">
          <color indexed="64"/>
        </top>
      </border>
    </dxf>
    <dxf>
      <border>
        <bottom/>
      </border>
    </dxf>
    <dxf>
      <border>
        <bottom/>
      </border>
    </dxf>
    <dxf>
      <border>
        <bottom/>
      </border>
    </dxf>
    <dxf>
      <border>
        <bottom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border>
        <top style="thin">
          <color indexed="64"/>
        </top>
      </border>
    </dxf>
    <dxf>
      <border>
        <bottom/>
      </border>
    </dxf>
    <dxf>
      <border>
        <bottom/>
      </border>
    </dxf>
    <dxf>
      <border>
        <bottom/>
      </border>
    </dxf>
    <dxf>
      <border>
        <bottom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3" tint="0.79998168889431442"/>
        </patternFill>
      </fill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FFC000"/>
        </patternFill>
      </fill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top style="thin">
          <color indexed="64"/>
        </top>
      </border>
    </dxf>
    <dxf>
      <font>
        <color theme="0"/>
      </font>
    </dxf>
    <dxf>
      <font>
        <color theme="0"/>
      </font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font>
        <color rgb="FFFFFF00"/>
      </font>
    </dxf>
    <dxf>
      <fill>
        <patternFill>
          <bgColor theme="2" tint="-0.749992370372631"/>
        </patternFill>
      </fill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rgb="FFFFFF00"/>
      </font>
    </dxf>
    <dxf>
      <fill>
        <patternFill>
          <bgColor theme="2" tint="-0.749992370372631"/>
        </patternFill>
      </fill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gray125"/>
      </fill>
    </dxf>
    <dxf>
      <fill>
        <patternFill patternType="darkGray">
          <fgColor theme="5" tint="-0.24994659260841701"/>
        </patternFill>
      </fill>
    </dxf>
    <dxf>
      <font>
        <color theme="1"/>
      </font>
    </dxf>
    <dxf>
      <fill>
        <patternFill>
          <bgColor theme="0"/>
        </patternFill>
      </fill>
    </dxf>
    <dxf>
      <font>
        <color theme="0"/>
      </font>
    </dxf>
    <dxf>
      <fill>
        <patternFill>
          <bgColor theme="1"/>
        </patternFill>
      </fill>
    </dxf>
    <dxf>
      <fill>
        <patternFill>
          <bgColor rgb="FF66FF33"/>
        </patternFill>
      </fill>
    </dxf>
    <dxf>
      <fill>
        <patternFill>
          <bgColor theme="9" tint="0.59999389629810485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theme="0"/>
      </font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ill>
        <patternFill>
          <bgColor theme="2" tint="-0.74999237037263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font>
        <color theme="1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>
          <bgColor theme="3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ont>
        <color theme="0"/>
      </font>
    </dxf>
    <dxf>
      <font>
        <color theme="0"/>
      </font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ill>
        <patternFill>
          <bgColor theme="2" tint="-0.74999237037263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ont>
        <color theme="0"/>
      </font>
    </dxf>
    <dxf>
      <font>
        <color theme="0"/>
      </font>
    </dxf>
    <dxf>
      <numFmt numFmtId="165" formatCode="&quot;$&quot;#,##0,;[Red]\-&quot;$&quot;#,##0"/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ill>
        <patternFill>
          <bgColor theme="2" tint="-0.74999237037263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</dxfs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2</xdr:row>
      <xdr:rowOff>180974</xdr:rowOff>
    </xdr:from>
    <xdr:to>
      <xdr:col>0</xdr:col>
      <xdr:colOff>733425</xdr:colOff>
      <xdr:row>13</xdr:row>
      <xdr:rowOff>47625</xdr:rowOff>
    </xdr:to>
    <xdr:sp macro="" textlink="">
      <xdr:nvSpPr>
        <xdr:cNvPr id="7" name="6 Rectángulo redondeado"/>
        <xdr:cNvSpPr/>
      </xdr:nvSpPr>
      <xdr:spPr>
        <a:xfrm>
          <a:off x="247650" y="561974"/>
          <a:ext cx="485775" cy="19621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s-MX" sz="1100" b="1"/>
            <a:t>ETAPAS</a:t>
          </a:r>
          <a:r>
            <a:rPr lang="es-MX" sz="1100" b="1" baseline="0"/>
            <a:t> Y PROTOTIPO</a:t>
          </a:r>
          <a:endParaRPr lang="es-MX" sz="1100" b="1"/>
        </a:p>
      </xdr:txBody>
    </xdr:sp>
    <xdr:clientData/>
  </xdr:twoCellAnchor>
  <xdr:twoCellAnchor>
    <xdr:from>
      <xdr:col>2</xdr:col>
      <xdr:colOff>19050</xdr:colOff>
      <xdr:row>1</xdr:row>
      <xdr:rowOff>114299</xdr:rowOff>
    </xdr:from>
    <xdr:to>
      <xdr:col>2</xdr:col>
      <xdr:colOff>885825</xdr:colOff>
      <xdr:row>2</xdr:row>
      <xdr:rowOff>152400</xdr:rowOff>
    </xdr:to>
    <xdr:sp macro="" textlink="">
      <xdr:nvSpPr>
        <xdr:cNvPr id="8" name="7 Rectángulo redondeado"/>
        <xdr:cNvSpPr/>
      </xdr:nvSpPr>
      <xdr:spPr>
        <a:xfrm>
          <a:off x="2105025" y="304799"/>
          <a:ext cx="866775" cy="2286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VIVIENDAS</a:t>
          </a:r>
        </a:p>
      </xdr:txBody>
    </xdr:sp>
    <xdr:clientData/>
  </xdr:twoCellAnchor>
  <xdr:twoCellAnchor>
    <xdr:from>
      <xdr:col>3</xdr:col>
      <xdr:colOff>28574</xdr:colOff>
      <xdr:row>1</xdr:row>
      <xdr:rowOff>123825</xdr:rowOff>
    </xdr:from>
    <xdr:to>
      <xdr:col>3</xdr:col>
      <xdr:colOff>1076325</xdr:colOff>
      <xdr:row>2</xdr:row>
      <xdr:rowOff>133351</xdr:rowOff>
    </xdr:to>
    <xdr:sp macro="" textlink="">
      <xdr:nvSpPr>
        <xdr:cNvPr id="9" name="8 Rectángulo redondeado"/>
        <xdr:cNvSpPr/>
      </xdr:nvSpPr>
      <xdr:spPr>
        <a:xfrm>
          <a:off x="3019424" y="314325"/>
          <a:ext cx="1047751" cy="2000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MILES PESOS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58</xdr:row>
      <xdr:rowOff>19049</xdr:rowOff>
    </xdr:from>
    <xdr:to>
      <xdr:col>1</xdr:col>
      <xdr:colOff>704850</xdr:colOff>
      <xdr:row>85</xdr:row>
      <xdr:rowOff>0</xdr:rowOff>
    </xdr:to>
    <xdr:sp macro="" textlink="">
      <xdr:nvSpPr>
        <xdr:cNvPr id="5" name="4 Rectángulo redondeado"/>
        <xdr:cNvSpPr/>
      </xdr:nvSpPr>
      <xdr:spPr>
        <a:xfrm>
          <a:off x="1162050" y="1352549"/>
          <a:ext cx="304800" cy="51244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s-MX" sz="1100" b="1"/>
            <a:t>AVANCE</a:t>
          </a:r>
          <a:r>
            <a:rPr lang="es-MX" sz="1100" b="1" baseline="0"/>
            <a:t>  DE OBRA REAL POR ETAPA Y MACRO MANZANA</a:t>
          </a:r>
          <a:endParaRPr lang="es-MX" sz="1100" b="1"/>
        </a:p>
      </xdr:txBody>
    </xdr:sp>
    <xdr:clientData/>
  </xdr:twoCellAnchor>
  <xdr:twoCellAnchor>
    <xdr:from>
      <xdr:col>3</xdr:col>
      <xdr:colOff>76202</xdr:colOff>
      <xdr:row>55</xdr:row>
      <xdr:rowOff>114301</xdr:rowOff>
    </xdr:from>
    <xdr:to>
      <xdr:col>8</xdr:col>
      <xdr:colOff>19051</xdr:colOff>
      <xdr:row>56</xdr:row>
      <xdr:rowOff>161925</xdr:rowOff>
    </xdr:to>
    <xdr:sp macro="" textlink="">
      <xdr:nvSpPr>
        <xdr:cNvPr id="6" name="5 Rectángulo redondeado"/>
        <xdr:cNvSpPr/>
      </xdr:nvSpPr>
      <xdr:spPr>
        <a:xfrm>
          <a:off x="2924177" y="876301"/>
          <a:ext cx="3228974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CALENDARIO DE OBRA PROGRAMADO</a:t>
          </a:r>
        </a:p>
      </xdr:txBody>
    </xdr:sp>
    <xdr:clientData/>
  </xdr:twoCellAnchor>
  <xdr:twoCellAnchor>
    <xdr:from>
      <xdr:col>1</xdr:col>
      <xdr:colOff>400050</xdr:colOff>
      <xdr:row>3</xdr:row>
      <xdr:rowOff>123823</xdr:rowOff>
    </xdr:from>
    <xdr:to>
      <xdr:col>1</xdr:col>
      <xdr:colOff>704850</xdr:colOff>
      <xdr:row>38</xdr:row>
      <xdr:rowOff>142875</xdr:rowOff>
    </xdr:to>
    <xdr:sp macro="" textlink="">
      <xdr:nvSpPr>
        <xdr:cNvPr id="4" name="3 Rectángulo redondeado"/>
        <xdr:cNvSpPr/>
      </xdr:nvSpPr>
      <xdr:spPr>
        <a:xfrm>
          <a:off x="1162050" y="695323"/>
          <a:ext cx="304800" cy="66865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s-MX" sz="1400" b="1"/>
            <a:t>AVANCE</a:t>
          </a:r>
          <a:r>
            <a:rPr lang="es-MX" sz="1400" b="1" baseline="0"/>
            <a:t>  DE OBRA REAL POR ETAPA </a:t>
          </a:r>
          <a:endParaRPr lang="es-MX" sz="1400" b="1"/>
        </a:p>
      </xdr:txBody>
    </xdr:sp>
    <xdr:clientData/>
  </xdr:twoCellAnchor>
  <xdr:twoCellAnchor>
    <xdr:from>
      <xdr:col>3</xdr:col>
      <xdr:colOff>28577</xdr:colOff>
      <xdr:row>0</xdr:row>
      <xdr:rowOff>95250</xdr:rowOff>
    </xdr:from>
    <xdr:to>
      <xdr:col>7</xdr:col>
      <xdr:colOff>628651</xdr:colOff>
      <xdr:row>1</xdr:row>
      <xdr:rowOff>142874</xdr:rowOff>
    </xdr:to>
    <xdr:sp macro="" textlink="">
      <xdr:nvSpPr>
        <xdr:cNvPr id="7" name="6 Rectángulo redondeado"/>
        <xdr:cNvSpPr/>
      </xdr:nvSpPr>
      <xdr:spPr>
        <a:xfrm>
          <a:off x="2876552" y="95250"/>
          <a:ext cx="3228974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CALENDARIO DE OBRA PROGRAMADO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7</xdr:row>
      <xdr:rowOff>161926</xdr:rowOff>
    </xdr:from>
    <xdr:to>
      <xdr:col>1</xdr:col>
      <xdr:colOff>723900</xdr:colOff>
      <xdr:row>13</xdr:row>
      <xdr:rowOff>9526</xdr:rowOff>
    </xdr:to>
    <xdr:sp macro="" textlink="">
      <xdr:nvSpPr>
        <xdr:cNvPr id="2" name="1 Rectángulo redondeado"/>
        <xdr:cNvSpPr/>
      </xdr:nvSpPr>
      <xdr:spPr>
        <a:xfrm>
          <a:off x="800100" y="1495426"/>
          <a:ext cx="685800" cy="990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s-MX" sz="1100" b="1"/>
            <a:t>ESTATUS</a:t>
          </a:r>
          <a:r>
            <a:rPr lang="es-MX" sz="1100" b="1" baseline="0"/>
            <a:t> UBICACIONES </a:t>
          </a:r>
          <a:endParaRPr lang="es-MX" sz="1100" b="1"/>
        </a:p>
      </xdr:txBody>
    </xdr:sp>
    <xdr:clientData/>
  </xdr:twoCellAnchor>
  <xdr:twoCellAnchor>
    <xdr:from>
      <xdr:col>3</xdr:col>
      <xdr:colOff>1</xdr:colOff>
      <xdr:row>4</xdr:row>
      <xdr:rowOff>114301</xdr:rowOff>
    </xdr:from>
    <xdr:to>
      <xdr:col>12</xdr:col>
      <xdr:colOff>19050</xdr:colOff>
      <xdr:row>5</xdr:row>
      <xdr:rowOff>161925</xdr:rowOff>
    </xdr:to>
    <xdr:sp macro="" textlink="">
      <xdr:nvSpPr>
        <xdr:cNvPr id="3" name="2 Rectángulo redondeado"/>
        <xdr:cNvSpPr/>
      </xdr:nvSpPr>
      <xdr:spPr>
        <a:xfrm>
          <a:off x="2847976" y="876301"/>
          <a:ext cx="7096124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PROTOTIPO POR ETAPA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7</xdr:row>
      <xdr:rowOff>19050</xdr:rowOff>
    </xdr:from>
    <xdr:to>
      <xdr:col>1</xdr:col>
      <xdr:colOff>704850</xdr:colOff>
      <xdr:row>14</xdr:row>
      <xdr:rowOff>85725</xdr:rowOff>
    </xdr:to>
    <xdr:sp macro="" textlink="">
      <xdr:nvSpPr>
        <xdr:cNvPr id="2" name="1 Rectángulo redondeado"/>
        <xdr:cNvSpPr/>
      </xdr:nvSpPr>
      <xdr:spPr>
        <a:xfrm>
          <a:off x="781050" y="1352550"/>
          <a:ext cx="685800" cy="1400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s-MX" sz="1100" b="1"/>
            <a:t>ANTIGÜEDAD</a:t>
          </a:r>
          <a:r>
            <a:rPr lang="es-MX" sz="1100" b="1" baseline="0"/>
            <a:t> VISITA PROSPECTOS</a:t>
          </a:r>
          <a:endParaRPr lang="es-MX" sz="1100" b="1"/>
        </a:p>
      </xdr:txBody>
    </xdr:sp>
    <xdr:clientData/>
  </xdr:twoCellAnchor>
  <xdr:twoCellAnchor>
    <xdr:from>
      <xdr:col>3</xdr:col>
      <xdr:colOff>1</xdr:colOff>
      <xdr:row>4</xdr:row>
      <xdr:rowOff>114301</xdr:rowOff>
    </xdr:from>
    <xdr:to>
      <xdr:col>8</xdr:col>
      <xdr:colOff>19050</xdr:colOff>
      <xdr:row>5</xdr:row>
      <xdr:rowOff>161925</xdr:rowOff>
    </xdr:to>
    <xdr:sp macro="" textlink="">
      <xdr:nvSpPr>
        <xdr:cNvPr id="3" name="2 Rectángulo redondeado"/>
        <xdr:cNvSpPr/>
      </xdr:nvSpPr>
      <xdr:spPr>
        <a:xfrm>
          <a:off x="2847976" y="876301"/>
          <a:ext cx="4962524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ESTATUS PROSPECTOS</a:t>
          </a:r>
        </a:p>
      </xdr:txBody>
    </xdr:sp>
    <xdr:clientData/>
  </xdr:twoCellAnchor>
  <xdr:twoCellAnchor>
    <xdr:from>
      <xdr:col>1</xdr:col>
      <xdr:colOff>19050</xdr:colOff>
      <xdr:row>27</xdr:row>
      <xdr:rowOff>19050</xdr:rowOff>
    </xdr:from>
    <xdr:to>
      <xdr:col>1</xdr:col>
      <xdr:colOff>704850</xdr:colOff>
      <xdr:row>61</xdr:row>
      <xdr:rowOff>28575</xdr:rowOff>
    </xdr:to>
    <xdr:sp macro="" textlink="">
      <xdr:nvSpPr>
        <xdr:cNvPr id="6" name="5 Rectángulo redondeado"/>
        <xdr:cNvSpPr/>
      </xdr:nvSpPr>
      <xdr:spPr>
        <a:xfrm>
          <a:off x="781050" y="5162550"/>
          <a:ext cx="685800" cy="6486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s-MX" sz="1100" b="1"/>
            <a:t>ANTIGÜEDAD</a:t>
          </a:r>
          <a:r>
            <a:rPr lang="es-MX" sz="1100" b="1" baseline="0"/>
            <a:t> VISITA PROSPECTOS POR VENDEDOR</a:t>
          </a:r>
          <a:endParaRPr lang="es-MX" sz="1100" b="1"/>
        </a:p>
      </xdr:txBody>
    </xdr:sp>
    <xdr:clientData/>
  </xdr:twoCellAnchor>
  <xdr:twoCellAnchor>
    <xdr:from>
      <xdr:col>3</xdr:col>
      <xdr:colOff>1</xdr:colOff>
      <xdr:row>25</xdr:row>
      <xdr:rowOff>28575</xdr:rowOff>
    </xdr:from>
    <xdr:to>
      <xdr:col>8</xdr:col>
      <xdr:colOff>19050</xdr:colOff>
      <xdr:row>25</xdr:row>
      <xdr:rowOff>238125</xdr:rowOff>
    </xdr:to>
    <xdr:sp macro="" textlink="">
      <xdr:nvSpPr>
        <xdr:cNvPr id="7" name="6 Rectángulo redondeado"/>
        <xdr:cNvSpPr/>
      </xdr:nvSpPr>
      <xdr:spPr>
        <a:xfrm>
          <a:off x="2847976" y="4743450"/>
          <a:ext cx="4543424" cy="209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ESTATUS PROSPECTOS</a:t>
          </a:r>
        </a:p>
      </xdr:txBody>
    </xdr:sp>
    <xdr:clientData/>
  </xdr:twoCellAnchor>
  <xdr:twoCellAnchor>
    <xdr:from>
      <xdr:col>11</xdr:col>
      <xdr:colOff>114300</xdr:colOff>
      <xdr:row>7</xdr:row>
      <xdr:rowOff>19050</xdr:rowOff>
    </xdr:from>
    <xdr:to>
      <xdr:col>11</xdr:col>
      <xdr:colOff>800100</xdr:colOff>
      <xdr:row>36</xdr:row>
      <xdr:rowOff>142875</xdr:rowOff>
    </xdr:to>
    <xdr:sp macro="" textlink="">
      <xdr:nvSpPr>
        <xdr:cNvPr id="8" name="7 Rectángulo redondeado"/>
        <xdr:cNvSpPr/>
      </xdr:nvSpPr>
      <xdr:spPr>
        <a:xfrm>
          <a:off x="9639300" y="1352550"/>
          <a:ext cx="685800" cy="5648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s-MX" sz="1600" b="1"/>
            <a:t>ESTATUS POR VENDEDOR</a:t>
          </a:r>
        </a:p>
      </xdr:txBody>
    </xdr:sp>
    <xdr:clientData/>
  </xdr:twoCellAnchor>
  <xdr:twoCellAnchor>
    <xdr:from>
      <xdr:col>13</xdr:col>
      <xdr:colOff>0</xdr:colOff>
      <xdr:row>4</xdr:row>
      <xdr:rowOff>114301</xdr:rowOff>
    </xdr:from>
    <xdr:to>
      <xdr:col>18</xdr:col>
      <xdr:colOff>942974</xdr:colOff>
      <xdr:row>5</xdr:row>
      <xdr:rowOff>161925</xdr:rowOff>
    </xdr:to>
    <xdr:sp macro="" textlink="">
      <xdr:nvSpPr>
        <xdr:cNvPr id="9" name="8 Rectángulo redondeado"/>
        <xdr:cNvSpPr/>
      </xdr:nvSpPr>
      <xdr:spPr>
        <a:xfrm>
          <a:off x="11668125" y="876301"/>
          <a:ext cx="5753099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b="1"/>
            <a:t>PERFIL DE INGRESOS MANIFESTADOS</a:t>
          </a:r>
        </a:p>
      </xdr:txBody>
    </xdr:sp>
    <xdr:clientData/>
  </xdr:twoCellAnchor>
  <xdr:twoCellAnchor>
    <xdr:from>
      <xdr:col>24</xdr:col>
      <xdr:colOff>114300</xdr:colOff>
      <xdr:row>7</xdr:row>
      <xdr:rowOff>19050</xdr:rowOff>
    </xdr:from>
    <xdr:to>
      <xdr:col>24</xdr:col>
      <xdr:colOff>800100</xdr:colOff>
      <xdr:row>36</xdr:row>
      <xdr:rowOff>142875</xdr:rowOff>
    </xdr:to>
    <xdr:sp macro="" textlink="">
      <xdr:nvSpPr>
        <xdr:cNvPr id="10" name="9 Rectángulo redondeado"/>
        <xdr:cNvSpPr/>
      </xdr:nvSpPr>
      <xdr:spPr>
        <a:xfrm>
          <a:off x="9639300" y="1352550"/>
          <a:ext cx="685800" cy="5600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s-MX" sz="1600" b="1"/>
            <a:t>ESTATUS POR VENDEDOR</a:t>
          </a:r>
        </a:p>
      </xdr:txBody>
    </xdr:sp>
    <xdr:clientData/>
  </xdr:twoCellAnchor>
  <xdr:twoCellAnchor>
    <xdr:from>
      <xdr:col>26</xdr:col>
      <xdr:colOff>57150</xdr:colOff>
      <xdr:row>4</xdr:row>
      <xdr:rowOff>123826</xdr:rowOff>
    </xdr:from>
    <xdr:to>
      <xdr:col>32</xdr:col>
      <xdr:colOff>57149</xdr:colOff>
      <xdr:row>5</xdr:row>
      <xdr:rowOff>171450</xdr:rowOff>
    </xdr:to>
    <xdr:sp macro="" textlink="">
      <xdr:nvSpPr>
        <xdr:cNvPr id="11" name="10 Rectángulo redondeado"/>
        <xdr:cNvSpPr/>
      </xdr:nvSpPr>
      <xdr:spPr>
        <a:xfrm>
          <a:off x="23812500" y="885826"/>
          <a:ext cx="4571999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b="1"/>
            <a:t>PERFIL DE INGRESOS MANIFESTADOS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7</xdr:row>
      <xdr:rowOff>19051</xdr:rowOff>
    </xdr:from>
    <xdr:to>
      <xdr:col>12</xdr:col>
      <xdr:colOff>704850</xdr:colOff>
      <xdr:row>12</xdr:row>
      <xdr:rowOff>38101</xdr:rowOff>
    </xdr:to>
    <xdr:sp macro="" textlink="">
      <xdr:nvSpPr>
        <xdr:cNvPr id="2" name="1 Rectángulo redondeado"/>
        <xdr:cNvSpPr/>
      </xdr:nvSpPr>
      <xdr:spPr>
        <a:xfrm>
          <a:off x="781050" y="1352551"/>
          <a:ext cx="685800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s-MX" sz="1100" b="1"/>
            <a:t>ESTATUS CLIENTE</a:t>
          </a:r>
        </a:p>
      </xdr:txBody>
    </xdr:sp>
    <xdr:clientData/>
  </xdr:twoCellAnchor>
  <xdr:twoCellAnchor>
    <xdr:from>
      <xdr:col>14</xdr:col>
      <xdr:colOff>1</xdr:colOff>
      <xdr:row>4</xdr:row>
      <xdr:rowOff>114301</xdr:rowOff>
    </xdr:from>
    <xdr:to>
      <xdr:col>16</xdr:col>
      <xdr:colOff>19050</xdr:colOff>
      <xdr:row>5</xdr:row>
      <xdr:rowOff>161925</xdr:rowOff>
    </xdr:to>
    <xdr:sp macro="" textlink="">
      <xdr:nvSpPr>
        <xdr:cNvPr id="3" name="2 Rectángulo redondeado"/>
        <xdr:cNvSpPr/>
      </xdr:nvSpPr>
      <xdr:spPr>
        <a:xfrm>
          <a:off x="2847976" y="876301"/>
          <a:ext cx="2047874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ESTATUS CRÉDITO PUENTE</a:t>
          </a:r>
        </a:p>
      </xdr:txBody>
    </xdr:sp>
    <xdr:clientData/>
  </xdr:twoCellAnchor>
  <xdr:twoCellAnchor>
    <xdr:from>
      <xdr:col>12</xdr:col>
      <xdr:colOff>19050</xdr:colOff>
      <xdr:row>19</xdr:row>
      <xdr:rowOff>19051</xdr:rowOff>
    </xdr:from>
    <xdr:to>
      <xdr:col>12</xdr:col>
      <xdr:colOff>704850</xdr:colOff>
      <xdr:row>24</xdr:row>
      <xdr:rowOff>38101</xdr:rowOff>
    </xdr:to>
    <xdr:sp macro="" textlink="">
      <xdr:nvSpPr>
        <xdr:cNvPr id="6" name="5 Rectángulo redondeado"/>
        <xdr:cNvSpPr/>
      </xdr:nvSpPr>
      <xdr:spPr>
        <a:xfrm>
          <a:off x="781050" y="1352551"/>
          <a:ext cx="685800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s-MX" sz="1100" b="1"/>
            <a:t>ESTATUS CLIENTE</a:t>
          </a:r>
        </a:p>
      </xdr:txBody>
    </xdr:sp>
    <xdr:clientData/>
  </xdr:twoCellAnchor>
  <xdr:twoCellAnchor>
    <xdr:from>
      <xdr:col>14</xdr:col>
      <xdr:colOff>1</xdr:colOff>
      <xdr:row>16</xdr:row>
      <xdr:rowOff>114301</xdr:rowOff>
    </xdr:from>
    <xdr:to>
      <xdr:col>16</xdr:col>
      <xdr:colOff>19050</xdr:colOff>
      <xdr:row>17</xdr:row>
      <xdr:rowOff>161925</xdr:rowOff>
    </xdr:to>
    <xdr:sp macro="" textlink="">
      <xdr:nvSpPr>
        <xdr:cNvPr id="7" name="6 Rectángulo redondeado"/>
        <xdr:cNvSpPr/>
      </xdr:nvSpPr>
      <xdr:spPr>
        <a:xfrm>
          <a:off x="2847976" y="876301"/>
          <a:ext cx="2133599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ESTATUS CRÉDITO PUENTE</a:t>
          </a:r>
        </a:p>
      </xdr:txBody>
    </xdr:sp>
    <xdr:clientData/>
  </xdr:twoCellAnchor>
  <xdr:twoCellAnchor>
    <xdr:from>
      <xdr:col>1</xdr:col>
      <xdr:colOff>19050</xdr:colOff>
      <xdr:row>7</xdr:row>
      <xdr:rowOff>19050</xdr:rowOff>
    </xdr:from>
    <xdr:to>
      <xdr:col>1</xdr:col>
      <xdr:colOff>704850</xdr:colOff>
      <xdr:row>33</xdr:row>
      <xdr:rowOff>152399</xdr:rowOff>
    </xdr:to>
    <xdr:sp macro="" textlink="">
      <xdr:nvSpPr>
        <xdr:cNvPr id="8" name="7 Rectángulo redondeado"/>
        <xdr:cNvSpPr/>
      </xdr:nvSpPr>
      <xdr:spPr>
        <a:xfrm>
          <a:off x="781050" y="1352550"/>
          <a:ext cx="685800" cy="50863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s-MX" sz="1100" b="1"/>
            <a:t>ESTATUS CLIENTE</a:t>
          </a:r>
        </a:p>
      </xdr:txBody>
    </xdr:sp>
    <xdr:clientData/>
  </xdr:twoCellAnchor>
  <xdr:twoCellAnchor>
    <xdr:from>
      <xdr:col>3</xdr:col>
      <xdr:colOff>3</xdr:colOff>
      <xdr:row>4</xdr:row>
      <xdr:rowOff>123826</xdr:rowOff>
    </xdr:from>
    <xdr:to>
      <xdr:col>3</xdr:col>
      <xdr:colOff>971551</xdr:colOff>
      <xdr:row>5</xdr:row>
      <xdr:rowOff>171450</xdr:rowOff>
    </xdr:to>
    <xdr:sp macro="" textlink="">
      <xdr:nvSpPr>
        <xdr:cNvPr id="9" name="8 Rectángulo redondeado"/>
        <xdr:cNvSpPr/>
      </xdr:nvSpPr>
      <xdr:spPr>
        <a:xfrm>
          <a:off x="2847978" y="885826"/>
          <a:ext cx="971548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900" b="1"/>
            <a:t>NO VIV</a:t>
          </a:r>
        </a:p>
      </xdr:txBody>
    </xdr:sp>
    <xdr:clientData/>
  </xdr:twoCellAnchor>
  <xdr:twoCellAnchor>
    <xdr:from>
      <xdr:col>4</xdr:col>
      <xdr:colOff>38104</xdr:colOff>
      <xdr:row>4</xdr:row>
      <xdr:rowOff>123826</xdr:rowOff>
    </xdr:from>
    <xdr:to>
      <xdr:col>4</xdr:col>
      <xdr:colOff>923926</xdr:colOff>
      <xdr:row>5</xdr:row>
      <xdr:rowOff>171450</xdr:rowOff>
    </xdr:to>
    <xdr:sp macro="" textlink="">
      <xdr:nvSpPr>
        <xdr:cNvPr id="12" name="11 Rectángulo redondeado"/>
        <xdr:cNvSpPr/>
      </xdr:nvSpPr>
      <xdr:spPr>
        <a:xfrm>
          <a:off x="4114804" y="885826"/>
          <a:ext cx="885822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800" b="1"/>
            <a:t>MONTO CRED.</a:t>
          </a:r>
        </a:p>
      </xdr:txBody>
    </xdr:sp>
    <xdr:clientData/>
  </xdr:twoCellAnchor>
  <xdr:twoCellAnchor>
    <xdr:from>
      <xdr:col>5</xdr:col>
      <xdr:colOff>38104</xdr:colOff>
      <xdr:row>4</xdr:row>
      <xdr:rowOff>123826</xdr:rowOff>
    </xdr:from>
    <xdr:to>
      <xdr:col>5</xdr:col>
      <xdr:colOff>923926</xdr:colOff>
      <xdr:row>5</xdr:row>
      <xdr:rowOff>171450</xdr:rowOff>
    </xdr:to>
    <xdr:sp macro="" textlink="">
      <xdr:nvSpPr>
        <xdr:cNvPr id="13" name="12 Rectángulo redondeado"/>
        <xdr:cNvSpPr/>
      </xdr:nvSpPr>
      <xdr:spPr>
        <a:xfrm>
          <a:off x="5067304" y="885826"/>
          <a:ext cx="885822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800" b="1"/>
            <a:t>EJERCIDO</a:t>
          </a:r>
        </a:p>
      </xdr:txBody>
    </xdr:sp>
    <xdr:clientData/>
  </xdr:twoCellAnchor>
  <xdr:twoCellAnchor>
    <xdr:from>
      <xdr:col>6</xdr:col>
      <xdr:colOff>28579</xdr:colOff>
      <xdr:row>4</xdr:row>
      <xdr:rowOff>123826</xdr:rowOff>
    </xdr:from>
    <xdr:to>
      <xdr:col>6</xdr:col>
      <xdr:colOff>914401</xdr:colOff>
      <xdr:row>5</xdr:row>
      <xdr:rowOff>171450</xdr:rowOff>
    </xdr:to>
    <xdr:sp macro="" textlink="">
      <xdr:nvSpPr>
        <xdr:cNvPr id="14" name="13 Rectángulo redondeado"/>
        <xdr:cNvSpPr/>
      </xdr:nvSpPr>
      <xdr:spPr>
        <a:xfrm>
          <a:off x="6010279" y="885826"/>
          <a:ext cx="885822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800" b="1"/>
            <a:t>X EJERCER</a:t>
          </a:r>
        </a:p>
      </xdr:txBody>
    </xdr:sp>
    <xdr:clientData/>
  </xdr:twoCellAnchor>
  <xdr:twoCellAnchor>
    <xdr:from>
      <xdr:col>7</xdr:col>
      <xdr:colOff>9529</xdr:colOff>
      <xdr:row>4</xdr:row>
      <xdr:rowOff>114301</xdr:rowOff>
    </xdr:from>
    <xdr:to>
      <xdr:col>7</xdr:col>
      <xdr:colOff>923925</xdr:colOff>
      <xdr:row>5</xdr:row>
      <xdr:rowOff>161925</xdr:rowOff>
    </xdr:to>
    <xdr:sp macro="" textlink="">
      <xdr:nvSpPr>
        <xdr:cNvPr id="11" name="10 Rectángulo redondeado"/>
        <xdr:cNvSpPr/>
      </xdr:nvSpPr>
      <xdr:spPr>
        <a:xfrm>
          <a:off x="6724654" y="1019176"/>
          <a:ext cx="914396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800" b="1"/>
            <a:t>PAGADO</a:t>
          </a:r>
        </a:p>
      </xdr:txBody>
    </xdr:sp>
    <xdr:clientData/>
  </xdr:twoCellAnchor>
  <xdr:twoCellAnchor>
    <xdr:from>
      <xdr:col>8</xdr:col>
      <xdr:colOff>9529</xdr:colOff>
      <xdr:row>4</xdr:row>
      <xdr:rowOff>114301</xdr:rowOff>
    </xdr:from>
    <xdr:to>
      <xdr:col>9</xdr:col>
      <xdr:colOff>0</xdr:colOff>
      <xdr:row>5</xdr:row>
      <xdr:rowOff>161925</xdr:rowOff>
    </xdr:to>
    <xdr:sp macro="" textlink="">
      <xdr:nvSpPr>
        <xdr:cNvPr id="15" name="14 Rectángulo redondeado"/>
        <xdr:cNvSpPr/>
      </xdr:nvSpPr>
      <xdr:spPr>
        <a:xfrm>
          <a:off x="7696204" y="1019176"/>
          <a:ext cx="962021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800" b="1"/>
            <a:t>SALDO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8</xdr:row>
      <xdr:rowOff>19051</xdr:rowOff>
    </xdr:from>
    <xdr:to>
      <xdr:col>2</xdr:col>
      <xdr:colOff>704850</xdr:colOff>
      <xdr:row>13</xdr:row>
      <xdr:rowOff>180975</xdr:rowOff>
    </xdr:to>
    <xdr:sp macro="" textlink="">
      <xdr:nvSpPr>
        <xdr:cNvPr id="2" name="1 Rectángulo redondeado"/>
        <xdr:cNvSpPr/>
      </xdr:nvSpPr>
      <xdr:spPr>
        <a:xfrm>
          <a:off x="1543050" y="1543051"/>
          <a:ext cx="685800" cy="11144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s-MX" sz="1100" b="1"/>
            <a:t>ESTATUS CLIENTE</a:t>
          </a:r>
        </a:p>
      </xdr:txBody>
    </xdr:sp>
    <xdr:clientData/>
  </xdr:twoCellAnchor>
  <xdr:twoCellAnchor>
    <xdr:from>
      <xdr:col>4</xdr:col>
      <xdr:colOff>1</xdr:colOff>
      <xdr:row>5</xdr:row>
      <xdr:rowOff>114301</xdr:rowOff>
    </xdr:from>
    <xdr:to>
      <xdr:col>12</xdr:col>
      <xdr:colOff>0</xdr:colOff>
      <xdr:row>6</xdr:row>
      <xdr:rowOff>161925</xdr:rowOff>
    </xdr:to>
    <xdr:sp macro="" textlink="">
      <xdr:nvSpPr>
        <xdr:cNvPr id="3" name="2 Rectángulo redondeado"/>
        <xdr:cNvSpPr/>
      </xdr:nvSpPr>
      <xdr:spPr>
        <a:xfrm>
          <a:off x="3609976" y="1066801"/>
          <a:ext cx="6095999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PROYECCIÓN FIRMA</a:t>
          </a:r>
        </a:p>
      </xdr:txBody>
    </xdr:sp>
    <xdr:clientData/>
  </xdr:twoCellAnchor>
  <xdr:twoCellAnchor>
    <xdr:from>
      <xdr:col>2</xdr:col>
      <xdr:colOff>19050</xdr:colOff>
      <xdr:row>20</xdr:row>
      <xdr:rowOff>19051</xdr:rowOff>
    </xdr:from>
    <xdr:to>
      <xdr:col>2</xdr:col>
      <xdr:colOff>704850</xdr:colOff>
      <xdr:row>25</xdr:row>
      <xdr:rowOff>180975</xdr:rowOff>
    </xdr:to>
    <xdr:sp macro="" textlink="">
      <xdr:nvSpPr>
        <xdr:cNvPr id="4" name="3 Rectángulo redondeado"/>
        <xdr:cNvSpPr/>
      </xdr:nvSpPr>
      <xdr:spPr>
        <a:xfrm>
          <a:off x="1543050" y="1543051"/>
          <a:ext cx="685800" cy="11144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s-MX" sz="1100" b="1"/>
            <a:t>ESTATUS CLIENTE</a:t>
          </a:r>
        </a:p>
      </xdr:txBody>
    </xdr:sp>
    <xdr:clientData/>
  </xdr:twoCellAnchor>
  <xdr:twoCellAnchor>
    <xdr:from>
      <xdr:col>4</xdr:col>
      <xdr:colOff>1</xdr:colOff>
      <xdr:row>17</xdr:row>
      <xdr:rowOff>114301</xdr:rowOff>
    </xdr:from>
    <xdr:to>
      <xdr:col>12</xdr:col>
      <xdr:colOff>0</xdr:colOff>
      <xdr:row>18</xdr:row>
      <xdr:rowOff>161925</xdr:rowOff>
    </xdr:to>
    <xdr:sp macro="" textlink="">
      <xdr:nvSpPr>
        <xdr:cNvPr id="5" name="4 Rectángulo redondeado"/>
        <xdr:cNvSpPr/>
      </xdr:nvSpPr>
      <xdr:spPr>
        <a:xfrm>
          <a:off x="3609976" y="1066801"/>
          <a:ext cx="6200774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PROYECCIÓN FIRMA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19050</xdr:rowOff>
    </xdr:from>
    <xdr:to>
      <xdr:col>10</xdr:col>
      <xdr:colOff>657225</xdr:colOff>
      <xdr:row>13</xdr:row>
      <xdr:rowOff>9525</xdr:rowOff>
    </xdr:to>
    <xdr:sp macro="" textlink="">
      <xdr:nvSpPr>
        <xdr:cNvPr id="2" name="1 Cerrar llave"/>
        <xdr:cNvSpPr/>
      </xdr:nvSpPr>
      <xdr:spPr>
        <a:xfrm>
          <a:off x="4610100" y="1295400"/>
          <a:ext cx="619125" cy="13239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38100</xdr:colOff>
      <xdr:row>13</xdr:row>
      <xdr:rowOff>28576</xdr:rowOff>
    </xdr:from>
    <xdr:to>
      <xdr:col>10</xdr:col>
      <xdr:colOff>657225</xdr:colOff>
      <xdr:row>14</xdr:row>
      <xdr:rowOff>180976</xdr:rowOff>
    </xdr:to>
    <xdr:sp macro="" textlink="">
      <xdr:nvSpPr>
        <xdr:cNvPr id="3" name="2 Cerrar llave"/>
        <xdr:cNvSpPr/>
      </xdr:nvSpPr>
      <xdr:spPr>
        <a:xfrm>
          <a:off x="4610100" y="2638426"/>
          <a:ext cx="619125" cy="3429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9525</xdr:colOff>
      <xdr:row>15</xdr:row>
      <xdr:rowOff>19051</xdr:rowOff>
    </xdr:from>
    <xdr:to>
      <xdr:col>10</xdr:col>
      <xdr:colOff>628650</xdr:colOff>
      <xdr:row>16</xdr:row>
      <xdr:rowOff>0</xdr:rowOff>
    </xdr:to>
    <xdr:sp macro="" textlink="">
      <xdr:nvSpPr>
        <xdr:cNvPr id="4" name="3 Cerrar llave"/>
        <xdr:cNvSpPr/>
      </xdr:nvSpPr>
      <xdr:spPr>
        <a:xfrm>
          <a:off x="4581525" y="3009901"/>
          <a:ext cx="619125" cy="1714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9525</xdr:colOff>
      <xdr:row>16</xdr:row>
      <xdr:rowOff>9526</xdr:rowOff>
    </xdr:from>
    <xdr:to>
      <xdr:col>10</xdr:col>
      <xdr:colOff>628650</xdr:colOff>
      <xdr:row>16</xdr:row>
      <xdr:rowOff>180975</xdr:rowOff>
    </xdr:to>
    <xdr:sp macro="" textlink="">
      <xdr:nvSpPr>
        <xdr:cNvPr id="5" name="4 Cerrar llave"/>
        <xdr:cNvSpPr/>
      </xdr:nvSpPr>
      <xdr:spPr>
        <a:xfrm>
          <a:off x="4581525" y="3190876"/>
          <a:ext cx="619125" cy="1714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28575</xdr:colOff>
      <xdr:row>5</xdr:row>
      <xdr:rowOff>19051</xdr:rowOff>
    </xdr:from>
    <xdr:to>
      <xdr:col>10</xdr:col>
      <xdr:colOff>647700</xdr:colOff>
      <xdr:row>6</xdr:row>
      <xdr:rowOff>0</xdr:rowOff>
    </xdr:to>
    <xdr:sp macro="" textlink="">
      <xdr:nvSpPr>
        <xdr:cNvPr id="6" name="5 Cerrar llave"/>
        <xdr:cNvSpPr/>
      </xdr:nvSpPr>
      <xdr:spPr>
        <a:xfrm>
          <a:off x="4600575" y="1104901"/>
          <a:ext cx="619125" cy="1714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28575</xdr:colOff>
      <xdr:row>5</xdr:row>
      <xdr:rowOff>9526</xdr:rowOff>
    </xdr:from>
    <xdr:to>
      <xdr:col>4</xdr:col>
      <xdr:colOff>647700</xdr:colOff>
      <xdr:row>5</xdr:row>
      <xdr:rowOff>180975</xdr:rowOff>
    </xdr:to>
    <xdr:sp macro="" textlink="">
      <xdr:nvSpPr>
        <xdr:cNvPr id="7" name="6 Cerrar llave"/>
        <xdr:cNvSpPr/>
      </xdr:nvSpPr>
      <xdr:spPr>
        <a:xfrm>
          <a:off x="3076575" y="1095376"/>
          <a:ext cx="619125" cy="1714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0</xdr:colOff>
      <xdr:row>15</xdr:row>
      <xdr:rowOff>9526</xdr:rowOff>
    </xdr:from>
    <xdr:to>
      <xdr:col>4</xdr:col>
      <xdr:colOff>619125</xdr:colOff>
      <xdr:row>15</xdr:row>
      <xdr:rowOff>180975</xdr:rowOff>
    </xdr:to>
    <xdr:sp macro="" textlink="">
      <xdr:nvSpPr>
        <xdr:cNvPr id="8" name="7 Cerrar llave"/>
        <xdr:cNvSpPr/>
      </xdr:nvSpPr>
      <xdr:spPr>
        <a:xfrm>
          <a:off x="3048000" y="3000376"/>
          <a:ext cx="619125" cy="1714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9525</xdr:colOff>
      <xdr:row>6</xdr:row>
      <xdr:rowOff>0</xdr:rowOff>
    </xdr:from>
    <xdr:to>
      <xdr:col>4</xdr:col>
      <xdr:colOff>628650</xdr:colOff>
      <xdr:row>8</xdr:row>
      <xdr:rowOff>171450</xdr:rowOff>
    </xdr:to>
    <xdr:sp macro="" textlink="">
      <xdr:nvSpPr>
        <xdr:cNvPr id="9" name="8 Cerrar llave"/>
        <xdr:cNvSpPr/>
      </xdr:nvSpPr>
      <xdr:spPr>
        <a:xfrm>
          <a:off x="3057525" y="1276350"/>
          <a:ext cx="619125" cy="5524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9525</xdr:colOff>
      <xdr:row>9</xdr:row>
      <xdr:rowOff>0</xdr:rowOff>
    </xdr:from>
    <xdr:to>
      <xdr:col>4</xdr:col>
      <xdr:colOff>628650</xdr:colOff>
      <xdr:row>12</xdr:row>
      <xdr:rowOff>161925</xdr:rowOff>
    </xdr:to>
    <xdr:sp macro="" textlink="">
      <xdr:nvSpPr>
        <xdr:cNvPr id="10" name="9 Cerrar llave"/>
        <xdr:cNvSpPr/>
      </xdr:nvSpPr>
      <xdr:spPr>
        <a:xfrm>
          <a:off x="3057525" y="1847850"/>
          <a:ext cx="619125" cy="733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19050</xdr:colOff>
      <xdr:row>13</xdr:row>
      <xdr:rowOff>0</xdr:rowOff>
    </xdr:from>
    <xdr:to>
      <xdr:col>4</xdr:col>
      <xdr:colOff>638175</xdr:colOff>
      <xdr:row>14</xdr:row>
      <xdr:rowOff>171449</xdr:rowOff>
    </xdr:to>
    <xdr:sp macro="" textlink="">
      <xdr:nvSpPr>
        <xdr:cNvPr id="11" name="10 Cerrar llave"/>
        <xdr:cNvSpPr/>
      </xdr:nvSpPr>
      <xdr:spPr>
        <a:xfrm>
          <a:off x="3067050" y="2609850"/>
          <a:ext cx="619125" cy="3619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6</xdr:row>
      <xdr:rowOff>200025</xdr:rowOff>
    </xdr:from>
    <xdr:to>
      <xdr:col>12</xdr:col>
      <xdr:colOff>57150</xdr:colOff>
      <xdr:row>17</xdr:row>
      <xdr:rowOff>0</xdr:rowOff>
    </xdr:to>
    <xdr:cxnSp macro="">
      <xdr:nvCxnSpPr>
        <xdr:cNvPr id="2" name="1 Conector recto de flecha"/>
        <xdr:cNvCxnSpPr/>
      </xdr:nvCxnSpPr>
      <xdr:spPr>
        <a:xfrm flipH="1">
          <a:off x="9505950" y="1343025"/>
          <a:ext cx="19050" cy="21717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6</xdr:row>
      <xdr:rowOff>200025</xdr:rowOff>
    </xdr:from>
    <xdr:to>
      <xdr:col>12</xdr:col>
      <xdr:colOff>57150</xdr:colOff>
      <xdr:row>17</xdr:row>
      <xdr:rowOff>0</xdr:rowOff>
    </xdr:to>
    <xdr:cxnSp macro="">
      <xdr:nvCxnSpPr>
        <xdr:cNvPr id="3" name="2 Conector recto de flecha"/>
        <xdr:cNvCxnSpPr/>
      </xdr:nvCxnSpPr>
      <xdr:spPr>
        <a:xfrm flipH="1">
          <a:off x="9505950" y="1343025"/>
          <a:ext cx="19050" cy="21717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24</xdr:row>
      <xdr:rowOff>9525</xdr:rowOff>
    </xdr:from>
    <xdr:to>
      <xdr:col>8</xdr:col>
      <xdr:colOff>600075</xdr:colOff>
      <xdr:row>40</xdr:row>
      <xdr:rowOff>85725</xdr:rowOff>
    </xdr:to>
    <xdr:sp macro="" textlink="">
      <xdr:nvSpPr>
        <xdr:cNvPr id="4" name="3 Cerrar llave"/>
        <xdr:cNvSpPr/>
      </xdr:nvSpPr>
      <xdr:spPr>
        <a:xfrm>
          <a:off x="6391275" y="5124450"/>
          <a:ext cx="504825" cy="4600575"/>
        </a:xfrm>
        <a:prstGeom prst="righ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133350</xdr:colOff>
      <xdr:row>3</xdr:row>
      <xdr:rowOff>9526</xdr:rowOff>
    </xdr:from>
    <xdr:to>
      <xdr:col>8</xdr:col>
      <xdr:colOff>638175</xdr:colOff>
      <xdr:row>23</xdr:row>
      <xdr:rowOff>57151</xdr:rowOff>
    </xdr:to>
    <xdr:sp macro="" textlink="">
      <xdr:nvSpPr>
        <xdr:cNvPr id="5" name="4 Cerrar llave"/>
        <xdr:cNvSpPr/>
      </xdr:nvSpPr>
      <xdr:spPr>
        <a:xfrm>
          <a:off x="6429375" y="581026"/>
          <a:ext cx="504825" cy="4400550"/>
        </a:xfrm>
        <a:prstGeom prst="righ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619125</xdr:colOff>
      <xdr:row>32</xdr:row>
      <xdr:rowOff>19050</xdr:rowOff>
    </xdr:from>
    <xdr:to>
      <xdr:col>10</xdr:col>
      <xdr:colOff>457200</xdr:colOff>
      <xdr:row>34</xdr:row>
      <xdr:rowOff>19050</xdr:rowOff>
    </xdr:to>
    <xdr:sp macro="" textlink="">
      <xdr:nvSpPr>
        <xdr:cNvPr id="6" name="5 Rectángulo redondeado"/>
        <xdr:cNvSpPr/>
      </xdr:nvSpPr>
      <xdr:spPr>
        <a:xfrm>
          <a:off x="6915150" y="7067550"/>
          <a:ext cx="1362075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USUARIO "</a:t>
          </a:r>
          <a:r>
            <a:rPr lang="es-MX" sz="1100" baseline="0"/>
            <a:t>CAPTURA COMERCIAL"</a:t>
          </a:r>
          <a:endParaRPr lang="es-MX" sz="1100"/>
        </a:p>
      </xdr:txBody>
    </xdr:sp>
    <xdr:clientData/>
  </xdr:twoCellAnchor>
  <xdr:twoCellAnchor>
    <xdr:from>
      <xdr:col>8</xdr:col>
      <xdr:colOff>704850</xdr:colOff>
      <xdr:row>12</xdr:row>
      <xdr:rowOff>114300</xdr:rowOff>
    </xdr:from>
    <xdr:to>
      <xdr:col>10</xdr:col>
      <xdr:colOff>542925</xdr:colOff>
      <xdr:row>15</xdr:row>
      <xdr:rowOff>133350</xdr:rowOff>
    </xdr:to>
    <xdr:sp macro="" textlink="">
      <xdr:nvSpPr>
        <xdr:cNvPr id="7" name="6 Rectángulo redondeado"/>
        <xdr:cNvSpPr/>
      </xdr:nvSpPr>
      <xdr:spPr>
        <a:xfrm>
          <a:off x="7000875" y="2533650"/>
          <a:ext cx="1362075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USUARIO "</a:t>
          </a:r>
          <a:r>
            <a:rPr lang="es-MX" sz="1100" baseline="0"/>
            <a:t>CAPTURA PROSPECTO"</a:t>
          </a:r>
          <a:endParaRPr lang="es-MX" sz="1100"/>
        </a:p>
      </xdr:txBody>
    </xdr:sp>
    <xdr:clientData/>
  </xdr:twoCellAnchor>
  <xdr:twoCellAnchor>
    <xdr:from>
      <xdr:col>4</xdr:col>
      <xdr:colOff>38101</xdr:colOff>
      <xdr:row>21</xdr:row>
      <xdr:rowOff>304800</xdr:rowOff>
    </xdr:from>
    <xdr:to>
      <xdr:col>4</xdr:col>
      <xdr:colOff>171451</xdr:colOff>
      <xdr:row>23</xdr:row>
      <xdr:rowOff>38099</xdr:rowOff>
    </xdr:to>
    <xdr:sp macro="" textlink="">
      <xdr:nvSpPr>
        <xdr:cNvPr id="8" name="7 Cerrar llave"/>
        <xdr:cNvSpPr/>
      </xdr:nvSpPr>
      <xdr:spPr>
        <a:xfrm>
          <a:off x="3181351" y="4714875"/>
          <a:ext cx="133350" cy="247649"/>
        </a:xfrm>
        <a:prstGeom prst="righ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161926</xdr:colOff>
      <xdr:row>21</xdr:row>
      <xdr:rowOff>180975</xdr:rowOff>
    </xdr:from>
    <xdr:to>
      <xdr:col>4</xdr:col>
      <xdr:colOff>714375</xdr:colOff>
      <xdr:row>24</xdr:row>
      <xdr:rowOff>9525</xdr:rowOff>
    </xdr:to>
    <xdr:sp macro="" textlink="">
      <xdr:nvSpPr>
        <xdr:cNvPr id="9" name="8 Rectángulo redondeado"/>
        <xdr:cNvSpPr/>
      </xdr:nvSpPr>
      <xdr:spPr>
        <a:xfrm>
          <a:off x="3305176" y="4591050"/>
          <a:ext cx="552449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600"/>
            <a:t>USUARIO </a:t>
          </a:r>
          <a:r>
            <a:rPr lang="es-MX" sz="600" baseline="0"/>
            <a:t> AUTORIZACIÓN APARTADO</a:t>
          </a:r>
          <a:endParaRPr lang="es-MX" sz="6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15</xdr:row>
      <xdr:rowOff>19050</xdr:rowOff>
    </xdr:from>
    <xdr:to>
      <xdr:col>9</xdr:col>
      <xdr:colOff>571500</xdr:colOff>
      <xdr:row>25</xdr:row>
      <xdr:rowOff>9525</xdr:rowOff>
    </xdr:to>
    <xdr:sp macro="" textlink="">
      <xdr:nvSpPr>
        <xdr:cNvPr id="2" name="1 Cerrar llave"/>
        <xdr:cNvSpPr/>
      </xdr:nvSpPr>
      <xdr:spPr>
        <a:xfrm>
          <a:off x="7162800" y="3009900"/>
          <a:ext cx="504825" cy="3228975"/>
        </a:xfrm>
        <a:prstGeom prst="righ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600075</xdr:colOff>
      <xdr:row>19</xdr:row>
      <xdr:rowOff>19049</xdr:rowOff>
    </xdr:from>
    <xdr:to>
      <xdr:col>11</xdr:col>
      <xdr:colOff>438150</xdr:colOff>
      <xdr:row>21</xdr:row>
      <xdr:rowOff>295275</xdr:rowOff>
    </xdr:to>
    <xdr:sp macro="" textlink="">
      <xdr:nvSpPr>
        <xdr:cNvPr id="3" name="2 Rectángulo redondeado"/>
        <xdr:cNvSpPr/>
      </xdr:nvSpPr>
      <xdr:spPr>
        <a:xfrm>
          <a:off x="7696200" y="4305299"/>
          <a:ext cx="1362075" cy="9239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USUARIO "</a:t>
          </a:r>
          <a:r>
            <a:rPr lang="es-MX" sz="1100" baseline="0"/>
            <a:t>CAPTURA ESTATUS COBRANZA"</a:t>
          </a:r>
          <a:endParaRPr lang="es-MX" sz="1100"/>
        </a:p>
      </xdr:txBody>
    </xdr:sp>
    <xdr:clientData/>
  </xdr:twoCellAnchor>
  <xdr:twoCellAnchor>
    <xdr:from>
      <xdr:col>10</xdr:col>
      <xdr:colOff>180975</xdr:colOff>
      <xdr:row>26</xdr:row>
      <xdr:rowOff>85725</xdr:rowOff>
    </xdr:from>
    <xdr:to>
      <xdr:col>10</xdr:col>
      <xdr:colOff>685800</xdr:colOff>
      <xdr:row>53</xdr:row>
      <xdr:rowOff>95250</xdr:rowOff>
    </xdr:to>
    <xdr:sp macro="" textlink="">
      <xdr:nvSpPr>
        <xdr:cNvPr id="4" name="3 Cerrar llave"/>
        <xdr:cNvSpPr/>
      </xdr:nvSpPr>
      <xdr:spPr>
        <a:xfrm>
          <a:off x="8039100" y="6505575"/>
          <a:ext cx="504825" cy="5715000"/>
        </a:xfrm>
        <a:prstGeom prst="righ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742950</xdr:colOff>
      <xdr:row>36</xdr:row>
      <xdr:rowOff>19049</xdr:rowOff>
    </xdr:from>
    <xdr:to>
      <xdr:col>12</xdr:col>
      <xdr:colOff>581025</xdr:colOff>
      <xdr:row>40</xdr:row>
      <xdr:rowOff>180975</xdr:rowOff>
    </xdr:to>
    <xdr:sp macro="" textlink="">
      <xdr:nvSpPr>
        <xdr:cNvPr id="5" name="4 Rectángulo redondeado"/>
        <xdr:cNvSpPr/>
      </xdr:nvSpPr>
      <xdr:spPr>
        <a:xfrm>
          <a:off x="8601075" y="8905874"/>
          <a:ext cx="1362075" cy="9239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USUARIO "</a:t>
          </a:r>
          <a:r>
            <a:rPr lang="es-MX" sz="1100" baseline="0"/>
            <a:t>CAPTURA SEGUIMIENTO CLIENTE"</a:t>
          </a:r>
          <a:endParaRPr lang="es-MX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25</xdr:row>
      <xdr:rowOff>152400</xdr:rowOff>
    </xdr:from>
    <xdr:to>
      <xdr:col>9</xdr:col>
      <xdr:colOff>581025</xdr:colOff>
      <xdr:row>39</xdr:row>
      <xdr:rowOff>180975</xdr:rowOff>
    </xdr:to>
    <xdr:sp macro="" textlink="">
      <xdr:nvSpPr>
        <xdr:cNvPr id="2" name="1 Cerrar llave"/>
        <xdr:cNvSpPr/>
      </xdr:nvSpPr>
      <xdr:spPr>
        <a:xfrm>
          <a:off x="7115175" y="6381750"/>
          <a:ext cx="504825" cy="3228975"/>
        </a:xfrm>
        <a:prstGeom prst="righ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609600</xdr:colOff>
      <xdr:row>31</xdr:row>
      <xdr:rowOff>38099</xdr:rowOff>
    </xdr:from>
    <xdr:to>
      <xdr:col>11</xdr:col>
      <xdr:colOff>447675</xdr:colOff>
      <xdr:row>35</xdr:row>
      <xdr:rowOff>66675</xdr:rowOff>
    </xdr:to>
    <xdr:sp macro="" textlink="">
      <xdr:nvSpPr>
        <xdr:cNvPr id="3" name="2 Rectángulo redondeado"/>
        <xdr:cNvSpPr/>
      </xdr:nvSpPr>
      <xdr:spPr>
        <a:xfrm>
          <a:off x="7648575" y="7677149"/>
          <a:ext cx="1362075" cy="9239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USUARIO "</a:t>
          </a:r>
          <a:r>
            <a:rPr lang="es-MX" sz="1100" baseline="0"/>
            <a:t>CAPTURA  Y CORRECCIÓN"</a:t>
          </a:r>
          <a:endParaRPr lang="es-MX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CARILLAS%20PROYECTO%20PSO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ntario"/>
      <sheetName val="PROSPECCIÓN"/>
      <sheetName val="SEGUIMIENTO CLIENTE"/>
      <sheetName val="COMISIONES"/>
    </sheetNames>
    <sheetDataSet>
      <sheetData sheetId="0">
        <row r="4">
          <cell r="D4">
            <v>1</v>
          </cell>
          <cell r="F4">
            <v>3</v>
          </cell>
          <cell r="H4">
            <v>23</v>
          </cell>
        </row>
        <row r="10">
          <cell r="D10" t="str">
            <v>Tarragona</v>
          </cell>
          <cell r="H10" t="str">
            <v>3122-108</v>
          </cell>
        </row>
        <row r="13">
          <cell r="F13">
            <v>978000</v>
          </cell>
        </row>
        <row r="16">
          <cell r="D16" t="str">
            <v>2DA-NOV</v>
          </cell>
        </row>
      </sheetData>
      <sheetData sheetId="1">
        <row r="5">
          <cell r="D5" t="str">
            <v>OMAR RODRIGO CASILLAS DÍAZ</v>
          </cell>
        </row>
        <row r="23">
          <cell r="H23" t="str">
            <v>D4</v>
          </cell>
        </row>
        <row r="29">
          <cell r="B29" t="str">
            <v>30/07/12</v>
          </cell>
          <cell r="D29">
            <v>5000</v>
          </cell>
          <cell r="F29">
            <v>911900</v>
          </cell>
          <cell r="H29">
            <v>48900</v>
          </cell>
        </row>
      </sheetData>
      <sheetData sheetId="2">
        <row r="17">
          <cell r="N17" t="str">
            <v>POR FIRMAR</v>
          </cell>
        </row>
        <row r="28">
          <cell r="B28" t="str">
            <v>ESTATUS CLIENTE</v>
          </cell>
        </row>
      </sheetData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MAR CASILLAS" refreshedDate="41122.568444560187" createdVersion="4" refreshedVersion="4" minRefreshableVersion="3" recordCount="296">
  <cacheSource type="worksheet">
    <worksheetSource ref="A1:EX297" sheet="BASE"/>
  </cacheSource>
  <cacheFields count="154">
    <cacheField name="No." numFmtId="0">
      <sharedItems containsString="0" containsBlank="1" containsNumber="1" containsInteger="1" minValue="1" maxValue="233"/>
    </cacheField>
    <cacheField name="CUV" numFmtId="0">
      <sharedItems containsBlank="1"/>
    </cacheField>
    <cacheField name="ID" numFmtId="0">
      <sharedItems containsBlank="1"/>
    </cacheField>
    <cacheField name="Manz" numFmtId="0">
      <sharedItems containsString="0" containsBlank="1" containsNumber="1" containsInteger="1" minValue="2" maxValue="6"/>
    </cacheField>
    <cacheField name="Macro Lote" numFmtId="0">
      <sharedItems containsString="0" containsBlank="1" containsNumber="1" containsInteger="1" minValue="1" maxValue="10"/>
    </cacheField>
    <cacheField name="Lote" numFmtId="0">
      <sharedItems containsString="0" containsBlank="1" containsNumber="1" containsInteger="1" minValue="1" maxValue="24"/>
    </cacheField>
    <cacheField name="Calle" numFmtId="0">
      <sharedItems containsBlank="1"/>
    </cacheField>
    <cacheField name="No. Oficial" numFmtId="0">
      <sharedItems containsNonDate="0" containsString="0" containsBlank="1"/>
    </cacheField>
    <cacheField name="ESTATUS UBICACIÓN" numFmtId="0">
      <sharedItems containsBlank="1"/>
    </cacheField>
    <cacheField name="m2 Terreno" numFmtId="4">
      <sharedItems containsString="0" containsBlank="1" containsNumber="1" minValue="80" maxValue="287.90100000000001"/>
    </cacheField>
    <cacheField name="m2 Construccion" numFmtId="4">
      <sharedItems containsNonDate="0" containsString="0" containsBlank="1"/>
    </cacheField>
    <cacheField name="Prototipo" numFmtId="4">
      <sharedItems containsBlank="1"/>
    </cacheField>
    <cacheField name="ETAPA" numFmtId="10">
      <sharedItems containsBlank="1" count="4">
        <s v="ETAPA 3"/>
        <s v="ETAPA 2"/>
        <s v="ETAPA 1"/>
        <m/>
      </sharedItems>
    </cacheField>
    <cacheField name="PRECIO" numFmtId="44">
      <sharedItems containsString="0" containsBlank="1" containsNumber="1" minValue="1126000" maxValue="1925023.8"/>
    </cacheField>
    <cacheField name="ID PORTAL" numFmtId="0">
      <sharedItems containsString="0" containsBlank="1" containsNumber="1" containsInteger="1" minValue="40" maxValue="272"/>
    </cacheField>
    <cacheField name="FECHA TERM. OBRA" numFmtId="14">
      <sharedItems containsNonDate="0" containsDate="1" containsString="0" containsBlank="1" minDate="2012-08-15T00:00:00" maxDate="2012-12-16T00:00:00"/>
    </cacheField>
    <cacheField name="PROY. OBRA" numFmtId="0">
      <sharedItems containsBlank="1"/>
    </cacheField>
    <cacheField name="% OBRA REAL" numFmtId="9">
      <sharedItems containsString="0" containsBlank="1" containsNumber="1" minValue="0" maxValue="1"/>
    </cacheField>
    <cacheField name="CRED. PUENTE" numFmtId="0">
      <sharedItems containsBlank="1"/>
    </cacheField>
    <cacheField name="BANCO  ACREEDOR CP" numFmtId="0">
      <sharedItems containsBlank="1"/>
    </cacheField>
    <cacheField name="FECHA LIBERACIÓN C. PUENTE" numFmtId="0">
      <sharedItems containsNonDate="0" containsDate="1" containsString="0" containsBlank="1" minDate="2012-06-01T00:00:00" maxDate="2012-06-02T00:00:00"/>
    </cacheField>
    <cacheField name="VALOR LIBERACIÓN" numFmtId="44">
      <sharedItems containsString="0" containsBlank="1" containsNumber="1" minValue="563000" maxValue="962511.9"/>
    </cacheField>
    <cacheField name="MONTO MINISTRADO" numFmtId="44">
      <sharedItems containsString="0" containsBlank="1" containsNumber="1" minValue="0" maxValue="572335.5"/>
    </cacheField>
    <cacheField name="POR EJERCER" numFmtId="44">
      <sharedItems containsString="0" containsBlank="1" containsNumber="1" minValue="0" maxValue="636443.4"/>
    </cacheField>
    <cacheField name="CRED. PUENTE PAGADO" numFmtId="44">
      <sharedItems containsString="0" containsBlank="1" containsNumber="1" minValue="0" maxValue="450292.81100000005"/>
    </cacheField>
    <cacheField name="SALDO CRED. PUENTE" numFmtId="44">
      <sharedItems containsString="0" containsBlank="1" containsNumber="1" minValue="0" maxValue="572335.5"/>
    </cacheField>
    <cacheField name="% MINISTRADO" numFmtId="0">
      <sharedItems containsBlank="1"/>
    </cacheField>
    <cacheField name="% X EJERCER" numFmtId="0">
      <sharedItems containsString="0" containsBlank="1" containsNumber="1" minValue="0" maxValue="0.95"/>
    </cacheField>
    <cacheField name="FECHA PAGO SIAPA" numFmtId="14">
      <sharedItems containsNonDate="0" containsDate="1" containsString="0" containsBlank="1" minDate="2012-03-14T00:00:00" maxDate="2012-07-29T00:00:00"/>
    </cacheField>
    <cacheField name="FECHA PAGO PREDIAL" numFmtId="14">
      <sharedItems containsNonDate="0" containsDate="1" containsString="0" containsBlank="1" minDate="2012-03-14T00:00:00" maxDate="2012-07-29T00:00:00"/>
    </cacheField>
    <cacheField name="FECHA EMISIÓN CLG" numFmtId="14">
      <sharedItems containsNonDate="0" containsDate="1" containsString="0" containsBlank="1" minDate="2012-03-14T00:00:00" maxDate="2012-07-29T00:00:00"/>
    </cacheField>
    <cacheField name="FECHA VISITA" numFmtId="0">
      <sharedItems containsNonDate="0" containsDate="1" containsString="0" containsBlank="1" minDate="2012-03-30T00:00:00" maxDate="2012-07-13T00:00:00"/>
    </cacheField>
    <cacheField name="CAJÓN FECHA VISITA" numFmtId="0">
      <sharedItems/>
    </cacheField>
    <cacheField name="NOMBRE CLIENTE" numFmtId="0">
      <sharedItems containsBlank="1"/>
    </cacheField>
    <cacheField name="CALLE2" numFmtId="0">
      <sharedItems containsNonDate="0" containsString="0" containsBlank="1"/>
    </cacheField>
    <cacheField name="COLONIA" numFmtId="0">
      <sharedItems containsNonDate="0" containsString="0" containsBlank="1"/>
    </cacheField>
    <cacheField name="C.P." numFmtId="0">
      <sharedItems containsNonDate="0" containsString="0" containsBlank="1"/>
    </cacheField>
    <cacheField name="MUNICIPIO" numFmtId="0">
      <sharedItems containsNonDate="0" containsString="0" containsBlank="1"/>
    </cacheField>
    <cacheField name="ESTADO" numFmtId="0">
      <sharedItems containsNonDate="0" containsString="0" containsBlank="1"/>
    </cacheField>
    <cacheField name="CORREO ELECTRONICO" numFmtId="0">
      <sharedItems containsNonDate="0" containsString="0" containsBlank="1"/>
    </cacheField>
    <cacheField name="TELEFONO CASA" numFmtId="0">
      <sharedItems containsString="0" containsBlank="1" containsNumber="1" containsInteger="1" minValue="68846" maxValue="36514654"/>
    </cacheField>
    <cacheField name="TELEFONO MOVIL" numFmtId="0">
      <sharedItems containsString="0" containsBlank="1" containsNumber="1" containsInteger="1" minValue="21" maxValue="651361361"/>
    </cacheField>
    <cacheField name="TELEFONO RECADOS" numFmtId="0">
      <sharedItems containsBlank="1" containsMixedTypes="1" containsNumber="1" containsInteger="1" minValue="84" maxValue="32132"/>
    </cacheField>
    <cacheField name="SEMANA VISITA" numFmtId="0">
      <sharedItems/>
    </cacheField>
    <cacheField name="MES VISITA" numFmtId="0">
      <sharedItems/>
    </cacheField>
    <cacheField name="INGRESOS CONYUGALES" numFmtId="0">
      <sharedItems containsString="0" containsBlank="1" containsNumber="1" containsInteger="1" minValue="7000" maxValue="80000"/>
    </cacheField>
    <cacheField name="CAJÓN INGRESOS" numFmtId="0">
      <sharedItems/>
    </cacheField>
    <cacheField name="CANAL PROSPECCIÓN" numFmtId="0">
      <sharedItems containsBlank="1"/>
    </cacheField>
    <cacheField name="ESTATUS PROSPECCIÓN" numFmtId="0">
      <sharedItems containsBlank="1"/>
    </cacheField>
    <cacheField name="CANAL FINANCIERO" numFmtId="0">
      <sharedItems containsBlank="1"/>
    </cacheField>
    <cacheField name="VENDEDOR ASIGNADO" numFmtId="0">
      <sharedItems containsBlank="1"/>
    </cacheField>
    <cacheField name="FECHA APARTADO" numFmtId="0">
      <sharedItems containsNonDate="0" containsDate="1" containsString="0" containsBlank="1" minDate="2012-03-30T00:00:00" maxDate="2012-07-15T00:00:00"/>
    </cacheField>
    <cacheField name="ESTATUS CLIENTE" numFmtId="0">
      <sharedItems containsBlank="1" count="10">
        <s v="ANÁLISIS"/>
        <s v="AUTORIZADO"/>
        <s v="COBRADO"/>
        <s v="INTEGRACIÓN"/>
        <s v="PREAUTORIZADO"/>
        <s v="SIN CLIENTE"/>
        <s v="FIRMADO"/>
        <s v="DICTAMINACIÓN"/>
        <s v="POR FIRMAR"/>
        <m/>
      </sharedItems>
    </cacheField>
    <cacheField name="FECHA INTEGRACIÓN" numFmtId="0">
      <sharedItems containsNonDate="0" containsDate="1" containsString="0" containsBlank="1" minDate="2012-03-30T00:00:00" maxDate="2012-07-18T00:00:00"/>
    </cacheField>
    <cacheField name="FECHA PROYECCIÓN FIRMA" numFmtId="0">
      <sharedItems containsNonDate="0" containsDate="1" containsString="0" containsBlank="1" minDate="2012-04-14T00:00:00" maxDate="2012-11-21T00:00:00"/>
    </cacheField>
    <cacheField name="FECHA AUTORIZACIÓN" numFmtId="0">
      <sharedItems containsNonDate="0" containsDate="1" containsString="0" containsBlank="1" minDate="2012-04-14T00:00:00" maxDate="2012-07-16T00:00:00"/>
    </cacheField>
    <cacheField name="AVALÚO" numFmtId="0">
      <sharedItems containsNonDate="0" containsString="0" containsBlank="1"/>
    </cacheField>
    <cacheField name="FECHA FIRMA" numFmtId="0">
      <sharedItems containsNonDate="0" containsDate="1" containsString="0" containsBlank="1" minDate="2012-04-26T00:00:00" maxDate="2012-06-28T00:00:00"/>
    </cacheField>
    <cacheField name="FECHA COBRO" numFmtId="0">
      <sharedItems containsNonDate="0" containsDate="1" containsString="0" containsBlank="1" minDate="2012-05-15T00:00:00" maxDate="2012-05-31T00:00:00"/>
    </cacheField>
    <cacheField name="COMENTARIOS" numFmtId="0">
      <sharedItems containsNonDate="0" containsString="0" containsBlank="1"/>
    </cacheField>
    <cacheField name="NOTARIA" numFmtId="0">
      <sharedItems containsString="0" containsBlank="1" containsNumber="1" containsInteger="1" minValue="58" maxValue="130"/>
    </cacheField>
    <cacheField name="FECHA ENTREGA VIV." numFmtId="0">
      <sharedItems containsNonDate="0" containsDate="1" containsString="0" containsBlank="1" minDate="2012-05-30T00:00:00" maxDate="2012-06-06T00:00:00"/>
    </cacheField>
    <cacheField name="ESTATUS COMISIÓN VENTA 1" numFmtId="0">
      <sharedItems containsBlank="1"/>
    </cacheField>
    <cacheField name="ESTATUS COMISIÓN VENTA 2" numFmtId="0">
      <sharedItems containsBlank="1"/>
    </cacheField>
    <cacheField name="ESTATUS COMISIÓN VENTA 3" numFmtId="0">
      <sharedItems containsBlank="1"/>
    </cacheField>
    <cacheField name="% COMISIÓN" numFmtId="9">
      <sharedItems containsString="0" containsBlank="1" containsNumber="1" minValue="0.01" maxValue="0.01"/>
    </cacheField>
    <cacheField name="1ER PAGO" numFmtId="44">
      <sharedItems containsString="0" containsBlank="1" containsNumber="1" minValue="3753.3333333333335" maxValue="6416.7460000000001"/>
    </cacheField>
    <cacheField name="2DO PAGO" numFmtId="44">
      <sharedItems containsString="0" containsBlank="1" containsNumber="1" minValue="3753.3333333333335" maxValue="6416.7460000000001"/>
    </cacheField>
    <cacheField name="3ER PAGO" numFmtId="44">
      <sharedItems containsString="0" containsBlank="1" containsNumber="1" minValue="3753.3333333333335" maxValue="6416.7460000000001"/>
    </cacheField>
    <cacheField name="FECHA 1ER PAGO" numFmtId="0">
      <sharedItems containsNonDate="0" containsDate="1" containsString="0" containsBlank="1" minDate="2012-04-06T00:00:00" maxDate="2012-07-16T00:00:00"/>
    </cacheField>
    <cacheField name="FECHA 2DO PAGO" numFmtId="0">
      <sharedItems containsNonDate="0" containsDate="1" containsString="0" containsBlank="1" minDate="2012-04-30T00:00:00" maxDate="2012-07-31T00:00:00"/>
    </cacheField>
    <cacheField name="FECHA 3ER PAGO" numFmtId="0">
      <sharedItems containsNonDate="0" containsDate="1" containsString="0" containsBlank="1" minDate="2012-04-30T00:00:00" maxDate="2012-07-01T00:00:00"/>
    </cacheField>
    <cacheField name="FECHA CANCELACIÓN" numFmtId="0">
      <sharedItems containsNonDate="0" containsString="0" containsBlank="1"/>
    </cacheField>
    <cacheField name="CAJÓN COMISIÓN 1" numFmtId="0">
      <sharedItems containsBlank="1"/>
    </cacheField>
    <cacheField name="CAJÓN COMISIÓN 2" numFmtId="0">
      <sharedItems containsBlank="1"/>
    </cacheField>
    <cacheField name="CAJÓN COMISIÓN 3" numFmtId="0">
      <sharedItems containsBlank="1"/>
    </cacheField>
    <cacheField name="CAJÓN CANC COM" numFmtId="0">
      <sharedItems containsBlank="1"/>
    </cacheField>
    <cacheField name="SEMANA APARTADO" numFmtId="0">
      <sharedItems/>
    </cacheField>
    <cacheField name="MES APARTADO" numFmtId="0">
      <sharedItems/>
    </cacheField>
    <cacheField name="SEMANA FIRMA" numFmtId="0">
      <sharedItems/>
    </cacheField>
    <cacheField name="MES FIRMA" numFmtId="0">
      <sharedItems/>
    </cacheField>
    <cacheField name="SEMANA ENTREGA VIV" numFmtId="0">
      <sharedItems/>
    </cacheField>
    <cacheField name="MES ENTREGA VIV" numFmtId="0">
      <sharedItems/>
    </cacheField>
    <cacheField name="CAJÓN PROY. FIRMA" numFmtId="0">
      <sharedItems containsBlank="1"/>
    </cacheField>
    <cacheField name="DIAS APARTADO" numFmtId="0">
      <sharedItems containsBlank="1"/>
    </cacheField>
    <cacheField name="DIAS FIRMA" numFmtId="0">
      <sharedItems containsBlank="1"/>
    </cacheField>
    <cacheField name="SIAPA" numFmtId="0">
      <sharedItems/>
    </cacheField>
    <cacheField name="PREDIAL" numFmtId="0">
      <sharedItems/>
    </cacheField>
    <cacheField name="CLG" numFmtId="0">
      <sharedItems/>
    </cacheField>
    <cacheField name="APARTADO $" numFmtId="0">
      <sharedItems containsString="0" containsBlank="1" containsNumber="1" containsInteger="1" minValue="1000" maxValue="50000"/>
    </cacheField>
    <cacheField name="ENGANCHE 1" numFmtId="0">
      <sharedItems containsString="0" containsBlank="1" containsNumber="1" containsInteger="1" minValue="5000" maxValue="110000"/>
    </cacheField>
    <cacheField name="ENGANCHE 2" numFmtId="0">
      <sharedItems containsString="0" containsBlank="1" containsNumber="1" containsInteger="1" minValue="5000" maxValue="500000"/>
    </cacheField>
    <cacheField name="ENGANCHE 3" numFmtId="0">
      <sharedItems containsString="0" containsBlank="1" containsNumber="1" containsInteger="1" minValue="10000" maxValue="100000"/>
    </cacheField>
    <cacheField name="ENGANCHE 4" numFmtId="0">
      <sharedItems containsString="0" containsBlank="1" containsNumber="1" containsInteger="1" minValue="5000" maxValue="10000"/>
    </cacheField>
    <cacheField name="ENGANCHE 5" numFmtId="0">
      <sharedItems containsString="0" containsBlank="1" containsNumber="1" containsInteger="1" minValue="50000" maxValue="50000"/>
    </cacheField>
    <cacheField name="ENGANCHE 6" numFmtId="0">
      <sharedItems containsString="0" containsBlank="1" containsNumber="1" containsInteger="1" minValue="10000" maxValue="10000"/>
    </cacheField>
    <cacheField name="ENGANCHE 7" numFmtId="0">
      <sharedItems containsNonDate="0" containsString="0" containsBlank="1"/>
    </cacheField>
    <cacheField name="ENGANCHE 8" numFmtId="0">
      <sharedItems containsNonDate="0" containsString="0" containsBlank="1"/>
    </cacheField>
    <cacheField name="ENGANCHE 9" numFmtId="0">
      <sharedItems containsNonDate="0" containsString="0" containsBlank="1"/>
    </cacheField>
    <cacheField name="ENGANCHE 10" numFmtId="0">
      <sharedItems containsNonDate="0" containsString="0" containsBlank="1"/>
    </cacheField>
    <cacheField name="ESTATUS ENGANCHE 1" numFmtId="0">
      <sharedItems containsBlank="1" count="3">
        <m/>
        <s v="PAGADO"/>
        <s v="VENCIDO"/>
      </sharedItems>
    </cacheField>
    <cacheField name="ESTATUS ENGANCHE 2" numFmtId="0">
      <sharedItems containsBlank="1" count="4">
        <m/>
        <s v="PAGADO"/>
        <s v="VENCIDO"/>
        <s v="VIGENTE"/>
      </sharedItems>
    </cacheField>
    <cacheField name="ESTATUS ENGANCHE 3" numFmtId="0">
      <sharedItems containsBlank="1" count="3">
        <m/>
        <s v="VENCIDO"/>
        <s v="PAGADO"/>
      </sharedItems>
    </cacheField>
    <cacheField name="ESTATUS ENGANCHE 4" numFmtId="0">
      <sharedItems containsBlank="1" count="3">
        <m/>
        <s v="VENCIDO"/>
        <s v="PAGADO"/>
      </sharedItems>
    </cacheField>
    <cacheField name="ESTATUS ENGANCHE 5" numFmtId="0">
      <sharedItems containsBlank="1" count="2">
        <m/>
        <s v="VIGENTE"/>
      </sharedItems>
    </cacheField>
    <cacheField name="ESTATUS ENGANCHE 6" numFmtId="0">
      <sharedItems containsBlank="1" count="2">
        <m/>
        <s v="VIGENTE"/>
      </sharedItems>
    </cacheField>
    <cacheField name="ESTATUS ENGANCHE 7" numFmtId="0">
      <sharedItems containsNonDate="0" containsString="0" containsBlank="1" count="1">
        <m/>
      </sharedItems>
    </cacheField>
    <cacheField name="ESTATUS ENGANCHE 8" numFmtId="0">
      <sharedItems containsNonDate="0" containsString="0" containsBlank="1" count="1">
        <m/>
      </sharedItems>
    </cacheField>
    <cacheField name="ESTATUS ENGANCHE 9" numFmtId="0">
      <sharedItems containsNonDate="0" containsString="0" containsBlank="1" count="1">
        <m/>
      </sharedItems>
    </cacheField>
    <cacheField name="ESTATUS ENGANCHE 10" numFmtId="0">
      <sharedItems containsNonDate="0" containsString="0" containsBlank="1" count="1">
        <m/>
      </sharedItems>
    </cacheField>
    <cacheField name="SUMA VIGENTE" numFmtId="0">
      <sharedItems containsSemiMixedTypes="0" containsString="0" containsNumber="1" containsInteger="1" minValue="0" maxValue="60000"/>
    </cacheField>
    <cacheField name="SUMA PAGADO" numFmtId="0">
      <sharedItems containsSemiMixedTypes="0" containsString="0" containsNumber="1" containsInteger="1" minValue="0" maxValue="512000"/>
    </cacheField>
    <cacheField name="SUMA VENCIDO" numFmtId="0">
      <sharedItems containsSemiMixedTypes="0" containsString="0" containsNumber="1" containsInteger="1" minValue="0" maxValue="60000"/>
    </cacheField>
    <cacheField name="ENGANCHE 1 FECHA" numFmtId="0">
      <sharedItems containsNonDate="0" containsDate="1" containsString="0" containsBlank="1" minDate="2012-04-14T00:00:00" maxDate="2012-07-16T00:00:00"/>
    </cacheField>
    <cacheField name="ENGANCHE 2 FECHA" numFmtId="0">
      <sharedItems containsNonDate="0" containsDate="1" containsString="0" containsBlank="1" minDate="2012-04-29T00:00:00" maxDate="2012-07-31T00:00:00"/>
    </cacheField>
    <cacheField name="ENGANCHE 3 FECHA" numFmtId="0">
      <sharedItems containsNonDate="0" containsDate="1" containsString="0" containsBlank="1" minDate="2012-05-14T00:00:00" maxDate="2012-06-30T00:00:00"/>
    </cacheField>
    <cacheField name="ENGANCHE 4 FECHA" numFmtId="0">
      <sharedItems containsNonDate="0" containsDate="1" containsString="0" containsBlank="1" minDate="2012-05-29T00:00:00" maxDate="2012-07-03T00:00:00"/>
    </cacheField>
    <cacheField name="ENGANCHE 5 FECHA" numFmtId="0">
      <sharedItems containsNonDate="0" containsDate="1" containsString="0" containsBlank="1" minDate="2012-07-22T00:00:00" maxDate="2012-07-30T00:00:00"/>
    </cacheField>
    <cacheField name="ENGANCHE 6 FECHA" numFmtId="0">
      <sharedItems containsNonDate="0" containsDate="1" containsString="0" containsBlank="1" minDate="2012-07-30T00:00:00" maxDate="2012-07-31T00:00:00"/>
    </cacheField>
    <cacheField name="ENGANCHE 7 FECHA" numFmtId="0">
      <sharedItems containsNonDate="0" containsString="0" containsBlank="1"/>
    </cacheField>
    <cacheField name="ENGANCHE 8 FECHA" numFmtId="0">
      <sharedItems containsNonDate="0" containsString="0" containsBlank="1"/>
    </cacheField>
    <cacheField name="ENGANCHE 9 FECHA" numFmtId="0">
      <sharedItems containsNonDate="0" containsString="0" containsBlank="1"/>
    </cacheField>
    <cacheField name="ENGANCHE 10 FECHA" numFmtId="0">
      <sharedItems containsNonDate="0" containsString="0" containsBlank="1"/>
    </cacheField>
    <cacheField name="SEM ENGANCHE 1" numFmtId="0">
      <sharedItems containsBlank="1"/>
    </cacheField>
    <cacheField name="SEM ENGANCHE 2" numFmtId="0">
      <sharedItems containsBlank="1"/>
    </cacheField>
    <cacheField name="SEM ENGANCHE 3" numFmtId="0">
      <sharedItems containsBlank="1"/>
    </cacheField>
    <cacheField name="SEM ENGANCHE 4" numFmtId="0">
      <sharedItems containsBlank="1"/>
    </cacheField>
    <cacheField name="SEM ENGANCHE 5" numFmtId="0">
      <sharedItems containsBlank="1"/>
    </cacheField>
    <cacheField name="SEM ENGANCHE 6" numFmtId="0">
      <sharedItems containsBlank="1"/>
    </cacheField>
    <cacheField name="SEM ENGANCHE 7" numFmtId="0">
      <sharedItems containsBlank="1"/>
    </cacheField>
    <cacheField name="SEM ENGANCHE 8" numFmtId="0">
      <sharedItems containsBlank="1"/>
    </cacheField>
    <cacheField name="SEM ENGANCHE 9" numFmtId="0">
      <sharedItems containsBlank="1"/>
    </cacheField>
    <cacheField name="SEM ENGANCHE 10" numFmtId="0">
      <sharedItems containsBlank="1"/>
    </cacheField>
    <cacheField name="MES ENGANCHE 1" numFmtId="0">
      <sharedItems containsBlank="1" count="6">
        <s v=""/>
        <s v="ABR"/>
        <s v="MAY"/>
        <s v="JUL"/>
        <s v="JUN"/>
        <m/>
      </sharedItems>
    </cacheField>
    <cacheField name="MES ENGANCHE 2" numFmtId="0">
      <sharedItems containsBlank="1" count="6">
        <s v=""/>
        <s v="ABR"/>
        <s v="MAY"/>
        <s v="JUN"/>
        <s v="JUL"/>
        <m/>
      </sharedItems>
    </cacheField>
    <cacheField name="MES ENGANCHE 3" numFmtId="0">
      <sharedItems containsBlank="1" count="4">
        <s v=""/>
        <s v="MAY"/>
        <s v="JUN"/>
        <m/>
      </sharedItems>
    </cacheField>
    <cacheField name="MES ENGANCHE 4" numFmtId="0">
      <sharedItems containsBlank="1" count="5">
        <s v=""/>
        <s v="MAY"/>
        <s v="JUN"/>
        <s v="JUL"/>
        <m/>
      </sharedItems>
    </cacheField>
    <cacheField name="MES ENGANCHE 5" numFmtId="0">
      <sharedItems containsBlank="1" count="3">
        <s v=""/>
        <s v="JUL"/>
        <m/>
      </sharedItems>
    </cacheField>
    <cacheField name="MES ENGANCHE 6" numFmtId="0">
      <sharedItems containsBlank="1" count="3">
        <s v=""/>
        <s v="JUL"/>
        <m/>
      </sharedItems>
    </cacheField>
    <cacheField name="MES ENGANCHE 7" numFmtId="0">
      <sharedItems containsBlank="1" count="2">
        <s v=""/>
        <m/>
      </sharedItems>
    </cacheField>
    <cacheField name="MES ENGANCHE 8" numFmtId="0">
      <sharedItems containsBlank="1" count="2">
        <s v=""/>
        <m/>
      </sharedItems>
    </cacheField>
    <cacheField name="MES ENGANCHE 9" numFmtId="0">
      <sharedItems containsBlank="1" count="2">
        <s v=""/>
        <m/>
      </sharedItems>
    </cacheField>
    <cacheField name="MES ENGANCHE 10" numFmtId="0">
      <sharedItems containsBlank="1" count="2">
        <s v=""/>
        <m/>
      </sharedItems>
    </cacheField>
    <cacheField name="AÑO ENGANCHE 1" numFmtId="0">
      <sharedItems containsBlank="1" containsMixedTypes="1" containsNumber="1" containsInteger="1" minValue="2012" maxValue="2012"/>
    </cacheField>
    <cacheField name="AÑO ENGANCHE 2" numFmtId="0">
      <sharedItems containsBlank="1" containsMixedTypes="1" containsNumber="1" containsInteger="1" minValue="2012" maxValue="2012"/>
    </cacheField>
    <cacheField name="AÑO ENGANCHE 3" numFmtId="0">
      <sharedItems containsBlank="1" containsMixedTypes="1" containsNumber="1" containsInteger="1" minValue="2012" maxValue="2012"/>
    </cacheField>
    <cacheField name="AÑO ENGANCHE 4" numFmtId="0">
      <sharedItems containsBlank="1" containsMixedTypes="1" containsNumber="1" containsInteger="1" minValue="2012" maxValue="2012"/>
    </cacheField>
    <cacheField name="AÑO ENGANCHE 5" numFmtId="0">
      <sharedItems containsBlank="1" containsMixedTypes="1" containsNumber="1" containsInteger="1" minValue="2012" maxValue="2012"/>
    </cacheField>
    <cacheField name="AÑO ENGANCHE 6" numFmtId="0">
      <sharedItems containsBlank="1" containsMixedTypes="1" containsNumber="1" containsInteger="1" minValue="2012" maxValue="2012"/>
    </cacheField>
    <cacheField name="AÑO ENGANCHE 7" numFmtId="0">
      <sharedItems containsBlank="1"/>
    </cacheField>
    <cacheField name="AÑO ENGANCHE 8" numFmtId="0">
      <sharedItems containsBlank="1"/>
    </cacheField>
    <cacheField name="AÑO ENGANCHE 9" numFmtId="0">
      <sharedItems containsBlank="1"/>
    </cacheField>
    <cacheField name="AÑO ENGANCHE 10" numFmtId="0">
      <sharedItems containsBlank="1"/>
    </cacheField>
    <cacheField name="MONTO CRÉDITO" numFmtId="44">
      <sharedItems containsSemiMixedTypes="0" containsString="0" containsNumber="1" minValue="0" maxValue="1854023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OMAR CASILLAS" refreshedDate="41122.56844988426" createdVersion="4" refreshedVersion="4" minRefreshableVersion="3" recordCount="233">
  <cacheSource type="worksheet">
    <worksheetSource ref="A1:DP234" sheet="BASE"/>
  </cacheSource>
  <cacheFields count="120">
    <cacheField name="No." numFmtId="0">
      <sharedItems containsSemiMixedTypes="0" containsString="0" containsNumber="1" containsInteger="1" minValue="1" maxValue="233"/>
    </cacheField>
    <cacheField name="CUV" numFmtId="0">
      <sharedItems/>
    </cacheField>
    <cacheField name="ID" numFmtId="0">
      <sharedItems/>
    </cacheField>
    <cacheField name="Manz" numFmtId="0">
      <sharedItems containsSemiMixedTypes="0" containsString="0" containsNumber="1" containsInteger="1" minValue="2" maxValue="6" count="5">
        <n v="2"/>
        <n v="3"/>
        <n v="4"/>
        <n v="5"/>
        <n v="6"/>
      </sharedItems>
    </cacheField>
    <cacheField name="Macro Lote" numFmtId="0">
      <sharedItems containsSemiMixedTypes="0" containsString="0" containsNumber="1" containsInteger="1" minValue="1" maxValue="10"/>
    </cacheField>
    <cacheField name="Lote" numFmtId="0">
      <sharedItems containsSemiMixedTypes="0" containsString="0" containsNumber="1" containsInteger="1" minValue="1" maxValue="24"/>
    </cacheField>
    <cacheField name="Calle" numFmtId="0">
      <sharedItems/>
    </cacheField>
    <cacheField name="No. Oficial" numFmtId="0">
      <sharedItems containsNonDate="0" containsString="0" containsBlank="1"/>
    </cacheField>
    <cacheField name="ESTATUS UBICACIÓN" numFmtId="0">
      <sharedItems count="5">
        <s v="EN OBRA"/>
        <s v="LIBRE"/>
        <s v="BLOQUEADO"/>
        <s v="CON CLIENTE"/>
        <s v="FIRMADO"/>
      </sharedItems>
    </cacheField>
    <cacheField name="m2 Terreno" numFmtId="4">
      <sharedItems containsSemiMixedTypes="0" containsString="0" containsNumber="1" minValue="80" maxValue="287.90100000000001"/>
    </cacheField>
    <cacheField name="m2 Construccion" numFmtId="4">
      <sharedItems containsNonDate="0" containsString="0" containsBlank="1"/>
    </cacheField>
    <cacheField name="Prototipo" numFmtId="4">
      <sharedItems count="3">
        <s v="AKUA"/>
        <s v="MARINE"/>
        <s v="AQUA" u="1"/>
      </sharedItems>
    </cacheField>
    <cacheField name="ETAPA" numFmtId="10">
      <sharedItems count="6">
        <s v="ETAPA 3"/>
        <s v="ETAPA 2"/>
        <s v="ETAPA 1"/>
        <s v="E1" u="1"/>
        <s v="E3" u="1"/>
        <s v="E2" u="1"/>
      </sharedItems>
    </cacheField>
    <cacheField name="PRECIO" numFmtId="44">
      <sharedItems containsSemiMixedTypes="0" containsString="0" containsNumber="1" minValue="1126000" maxValue="1925023.8"/>
    </cacheField>
    <cacheField name="ID PORTAL" numFmtId="0">
      <sharedItems containsSemiMixedTypes="0" containsString="0" containsNumber="1" containsInteger="1" minValue="40" maxValue="272"/>
    </cacheField>
    <cacheField name="FECHA TERM. OBRA" numFmtId="14">
      <sharedItems containsSemiMixedTypes="0" containsNonDate="0" containsDate="1" containsString="0" minDate="2012-08-15T00:00:00" maxDate="2012-12-16T00:00:00"/>
    </cacheField>
    <cacheField name="PROY. OBRA" numFmtId="0">
      <sharedItems count="13">
        <s v="2DA-NOV"/>
        <s v="2DA-DIC"/>
        <s v="2DA-SEP"/>
        <s v="2DA-OCT"/>
        <s v="2DA-AGO"/>
        <s v="2DA NOV" u="1"/>
        <s v="1RA DIC" u="1"/>
        <s v="1RA OCT" u="1"/>
        <s v="2DA OCT" u="1"/>
        <s v="2DA AGO" u="1"/>
        <s v="1RA SEP" u="1"/>
        <s v="2DA SEP" u="1"/>
        <s v="1RA NOV" u="1"/>
      </sharedItems>
    </cacheField>
    <cacheField name="% OBRA REAL" numFmtId="9">
      <sharedItems containsSemiMixedTypes="0" containsString="0" containsNumber="1" minValue="0" maxValue="1" count="11">
        <n v="0.1"/>
        <n v="0"/>
        <n v="0.2"/>
        <n v="1"/>
        <n v="0.8"/>
        <n v="0.9"/>
        <n v="0.7"/>
        <n v="0.6"/>
        <n v="0.5"/>
        <n v="0.3"/>
        <n v="0.4"/>
      </sharedItems>
    </cacheField>
    <cacheField name="CRED. PUENTE" numFmtId="0">
      <sharedItems/>
    </cacheField>
    <cacheField name="BANCO  ACREEDOR CP" numFmtId="0">
      <sharedItems/>
    </cacheField>
    <cacheField name="FECHA LIBERACIÓN C. PUENTE" numFmtId="0">
      <sharedItems containsNonDate="0" containsDate="1" containsString="0" containsBlank="1" minDate="2012-06-01T00:00:00" maxDate="2012-06-02T00:00:00"/>
    </cacheField>
    <cacheField name="VALOR LIBERACIÓN" numFmtId="44">
      <sharedItems containsSemiMixedTypes="0" containsString="0" containsNumber="1" minValue="563000" maxValue="962511.9"/>
    </cacheField>
    <cacheField name="MONTO MINISTRADO" numFmtId="44">
      <sharedItems containsSemiMixedTypes="0" containsString="0" containsNumber="1" minValue="0" maxValue="572335.5"/>
    </cacheField>
    <cacheField name="POR EJERCER" numFmtId="44">
      <sharedItems containsSemiMixedTypes="0" containsString="0" containsNumber="1" minValue="0" maxValue="636443.4"/>
    </cacheField>
    <cacheField name="CRED. PUENTE PAGADO" numFmtId="44">
      <sharedItems containsSemiMixedTypes="0" containsString="0" containsNumber="1" minValue="0" maxValue="450292.81100000005"/>
    </cacheField>
    <cacheField name="SALDO CRED. PUENTE" numFmtId="44">
      <sharedItems containsSemiMixedTypes="0" containsString="0" containsNumber="1" minValue="0" maxValue="572335.5"/>
    </cacheField>
    <cacheField name="% MINISTRADO" numFmtId="9">
      <sharedItems/>
    </cacheField>
    <cacheField name="% X EJERCER" numFmtId="9">
      <sharedItems containsSemiMixedTypes="0" containsString="0" containsNumber="1" minValue="0" maxValue="0.95"/>
    </cacheField>
    <cacheField name="FECHA PAGO SIAPA" numFmtId="14">
      <sharedItems containsNonDate="0" containsDate="1" containsString="0" containsBlank="1" minDate="2012-03-14T00:00:00" maxDate="2012-07-29T00:00:00"/>
    </cacheField>
    <cacheField name="FECHA PAGO PREDIAL" numFmtId="14">
      <sharedItems containsNonDate="0" containsDate="1" containsString="0" containsBlank="1" minDate="2012-03-14T00:00:00" maxDate="2012-07-29T00:00:00"/>
    </cacheField>
    <cacheField name="FECHA EMISIÓN CLG" numFmtId="14">
      <sharedItems containsNonDate="0" containsDate="1" containsString="0" containsBlank="1" minDate="2012-03-14T00:00:00" maxDate="2012-07-29T00:00:00"/>
    </cacheField>
    <cacheField name="FECHA VISITA" numFmtId="0">
      <sharedItems containsNonDate="0" containsDate="1" containsString="0" containsBlank="1" minDate="2012-03-30T00:00:00" maxDate="2012-06-15T00:00:00"/>
    </cacheField>
    <cacheField name="CAJÓN FECHA VISITA" numFmtId="0">
      <sharedItems/>
    </cacheField>
    <cacheField name="NOMBRE CLIENTE" numFmtId="0">
      <sharedItems containsBlank="1"/>
    </cacheField>
    <cacheField name="CALLE2" numFmtId="0">
      <sharedItems containsNonDate="0" containsString="0" containsBlank="1"/>
    </cacheField>
    <cacheField name="COLONIA" numFmtId="0">
      <sharedItems containsNonDate="0" containsString="0" containsBlank="1"/>
    </cacheField>
    <cacheField name="C.P." numFmtId="0">
      <sharedItems containsNonDate="0" containsString="0" containsBlank="1"/>
    </cacheField>
    <cacheField name="MUNICIPIO" numFmtId="0">
      <sharedItems containsNonDate="0" containsString="0" containsBlank="1"/>
    </cacheField>
    <cacheField name="ESTADO" numFmtId="0">
      <sharedItems containsNonDate="0" containsString="0" containsBlank="1"/>
    </cacheField>
    <cacheField name="CORREO ELECTRONICO" numFmtId="0">
      <sharedItems containsNonDate="0" containsString="0" containsBlank="1"/>
    </cacheField>
    <cacheField name="TELEFONO CASA" numFmtId="0">
      <sharedItems containsString="0" containsBlank="1" containsNumber="1" containsInteger="1" minValue="68846" maxValue="36514654"/>
    </cacheField>
    <cacheField name="TELEFONO MOVIL" numFmtId="0">
      <sharedItems containsString="0" containsBlank="1" containsNumber="1" containsInteger="1" minValue="21" maxValue="651361361"/>
    </cacheField>
    <cacheField name="TELEFONO RECADOS" numFmtId="0">
      <sharedItems containsBlank="1" containsMixedTypes="1" containsNumber="1" containsInteger="1" minValue="84" maxValue="32132"/>
    </cacheField>
    <cacheField name="SEMANA VISITA" numFmtId="0">
      <sharedItems/>
    </cacheField>
    <cacheField name="MES VISITA" numFmtId="0">
      <sharedItems/>
    </cacheField>
    <cacheField name="INGRESOS CONYUGALES" numFmtId="0">
      <sharedItems containsString="0" containsBlank="1" containsNumber="1" containsInteger="1" minValue="7000" maxValue="44000"/>
    </cacheField>
    <cacheField name="CAJÓN INGRESOS" numFmtId="0">
      <sharedItems/>
    </cacheField>
    <cacheField name="CANAL PROSPECCIÓN" numFmtId="0">
      <sharedItems containsBlank="1"/>
    </cacheField>
    <cacheField name="ESTATUS PROSPECCIÓN" numFmtId="0">
      <sharedItems containsBlank="1"/>
    </cacheField>
    <cacheField name="CANAL FINANCIERO" numFmtId="0">
      <sharedItems containsBlank="1"/>
    </cacheField>
    <cacheField name="VENDEDOR ASIGNADO" numFmtId="0">
      <sharedItems containsBlank="1"/>
    </cacheField>
    <cacheField name="FECHA APARTADO" numFmtId="0">
      <sharedItems containsNonDate="0" containsDate="1" containsString="0" containsBlank="1" minDate="2012-03-30T00:00:00" maxDate="2012-07-15T00:00:00"/>
    </cacheField>
    <cacheField name="ESTATUS CLIENTE" numFmtId="0">
      <sharedItems/>
    </cacheField>
    <cacheField name="FECHA INTEGRACIÓN" numFmtId="0">
      <sharedItems containsNonDate="0" containsDate="1" containsString="0" containsBlank="1" minDate="2012-03-30T00:00:00" maxDate="2012-07-18T00:00:00"/>
    </cacheField>
    <cacheField name="FECHA PROYECCIÓN FIRMA" numFmtId="0">
      <sharedItems containsNonDate="0" containsDate="1" containsString="0" containsBlank="1" minDate="2012-04-14T00:00:00" maxDate="2012-11-21T00:00:00"/>
    </cacheField>
    <cacheField name="FECHA AUTORIZACIÓN" numFmtId="0">
      <sharedItems containsNonDate="0" containsDate="1" containsString="0" containsBlank="1" minDate="2012-04-14T00:00:00" maxDate="2012-07-16T00:00:00"/>
    </cacheField>
    <cacheField name="AVALÚO" numFmtId="0">
      <sharedItems containsNonDate="0" containsString="0" containsBlank="1"/>
    </cacheField>
    <cacheField name="FECHA FIRMA" numFmtId="0">
      <sharedItems containsNonDate="0" containsDate="1" containsString="0" containsBlank="1" minDate="2012-04-26T00:00:00" maxDate="2012-06-28T00:00:00"/>
    </cacheField>
    <cacheField name="FECHA COBRO" numFmtId="0">
      <sharedItems containsNonDate="0" containsDate="1" containsString="0" containsBlank="1" minDate="2012-05-15T00:00:00" maxDate="2012-05-31T00:00:00"/>
    </cacheField>
    <cacheField name="COMENTARIOS" numFmtId="0">
      <sharedItems containsNonDate="0" containsString="0" containsBlank="1"/>
    </cacheField>
    <cacheField name="NOTARIA" numFmtId="0">
      <sharedItems containsString="0" containsBlank="1" containsNumber="1" containsInteger="1" minValue="58" maxValue="130"/>
    </cacheField>
    <cacheField name="FECHA ENTREGA VIV." numFmtId="0">
      <sharedItems containsNonDate="0" containsDate="1" containsString="0" containsBlank="1" minDate="2012-05-30T00:00:00" maxDate="2012-06-06T00:00:00"/>
    </cacheField>
    <cacheField name="ESTATUS COMISIÓN VENTA 1" numFmtId="0">
      <sharedItems containsBlank="1"/>
    </cacheField>
    <cacheField name="ESTATUS COMISIÓN VENTA 2" numFmtId="0">
      <sharedItems containsBlank="1"/>
    </cacheField>
    <cacheField name="ESTATUS COMISIÓN VENTA 3" numFmtId="0">
      <sharedItems containsBlank="1"/>
    </cacheField>
    <cacheField name="% COMISIÓN" numFmtId="9">
      <sharedItems containsSemiMixedTypes="0" containsString="0" containsNumber="1" minValue="0.01" maxValue="0.01"/>
    </cacheField>
    <cacheField name="1ER PAGO" numFmtId="44">
      <sharedItems containsSemiMixedTypes="0" containsString="0" containsNumber="1" minValue="3753.3333333333335" maxValue="6416.7460000000001"/>
    </cacheField>
    <cacheField name="2DO PAGO" numFmtId="44">
      <sharedItems containsSemiMixedTypes="0" containsString="0" containsNumber="1" minValue="3753.3333333333335" maxValue="6416.7460000000001"/>
    </cacheField>
    <cacheField name="3ER PAGO" numFmtId="44">
      <sharedItems containsSemiMixedTypes="0" containsString="0" containsNumber="1" minValue="3753.3333333333335" maxValue="6416.7460000000001"/>
    </cacheField>
    <cacheField name="FECHA 1ER PAGO" numFmtId="0">
      <sharedItems containsNonDate="0" containsDate="1" containsString="0" containsBlank="1" minDate="2012-04-06T00:00:00" maxDate="2012-07-16T00:00:00"/>
    </cacheField>
    <cacheField name="FECHA 2DO PAGO" numFmtId="0">
      <sharedItems containsNonDate="0" containsDate="1" containsString="0" containsBlank="1" minDate="2012-04-30T00:00:00" maxDate="2012-07-31T00:00:00"/>
    </cacheField>
    <cacheField name="FECHA 3ER PAGO" numFmtId="0">
      <sharedItems containsNonDate="0" containsDate="1" containsString="0" containsBlank="1" minDate="2012-04-30T00:00:00" maxDate="2012-07-01T00:00:00"/>
    </cacheField>
    <cacheField name="FECHA CANCELACIÓN" numFmtId="0">
      <sharedItems containsNonDate="0" containsString="0" containsBlank="1"/>
    </cacheField>
    <cacheField name="CAJÓN COMISIÓN 1" numFmtId="0">
      <sharedItems/>
    </cacheField>
    <cacheField name="CAJÓN COMISIÓN 2" numFmtId="0">
      <sharedItems/>
    </cacheField>
    <cacheField name="CAJÓN COMISIÓN 3" numFmtId="0">
      <sharedItems/>
    </cacheField>
    <cacheField name="CAJÓN CANC COM" numFmtId="0">
      <sharedItems/>
    </cacheField>
    <cacheField name="SEMANA APARTADO" numFmtId="0">
      <sharedItems/>
    </cacheField>
    <cacheField name="MES APARTADO" numFmtId="0">
      <sharedItems/>
    </cacheField>
    <cacheField name="SEMANA FIRMA" numFmtId="0">
      <sharedItems/>
    </cacheField>
    <cacheField name="MES FIRMA" numFmtId="0">
      <sharedItems/>
    </cacheField>
    <cacheField name="SEMANA ENTREGA VIV" numFmtId="0">
      <sharedItems/>
    </cacheField>
    <cacheField name="MES ENTREGA VIV" numFmtId="0">
      <sharedItems/>
    </cacheField>
    <cacheField name="CAJÓN PROY. FIRMA" numFmtId="0">
      <sharedItems/>
    </cacheField>
    <cacheField name="DIAS APARTADO" numFmtId="0">
      <sharedItems/>
    </cacheField>
    <cacheField name="DIAS FIRMA" numFmtId="0">
      <sharedItems/>
    </cacheField>
    <cacheField name="SIAPA" numFmtId="0">
      <sharedItems/>
    </cacheField>
    <cacheField name="PREDIAL" numFmtId="0">
      <sharedItems/>
    </cacheField>
    <cacheField name="CLG" numFmtId="0">
      <sharedItems/>
    </cacheField>
    <cacheField name="APARTADO $" numFmtId="0">
      <sharedItems containsString="0" containsBlank="1" containsNumber="1" containsInteger="1" minValue="1000" maxValue="50000"/>
    </cacheField>
    <cacheField name="ENGANCHE 1" numFmtId="0">
      <sharedItems containsString="0" containsBlank="1" containsNumber="1" containsInteger="1" minValue="5000" maxValue="110000"/>
    </cacheField>
    <cacheField name="ENGANCHE 2" numFmtId="0">
      <sharedItems containsString="0" containsBlank="1" containsNumber="1" containsInteger="1" minValue="5000" maxValue="500000"/>
    </cacheField>
    <cacheField name="ENGANCHE 3" numFmtId="0">
      <sharedItems containsString="0" containsBlank="1" containsNumber="1" containsInteger="1" minValue="10000" maxValue="100000"/>
    </cacheField>
    <cacheField name="ENGANCHE 4" numFmtId="0">
      <sharedItems containsString="0" containsBlank="1" containsNumber="1" containsInteger="1" minValue="5000" maxValue="10000"/>
    </cacheField>
    <cacheField name="ENGANCHE 5" numFmtId="0">
      <sharedItems containsString="0" containsBlank="1" containsNumber="1" containsInteger="1" minValue="50000" maxValue="50000"/>
    </cacheField>
    <cacheField name="ENGANCHE 6" numFmtId="0">
      <sharedItems containsString="0" containsBlank="1" containsNumber="1" containsInteger="1" minValue="10000" maxValue="10000"/>
    </cacheField>
    <cacheField name="ENGANCHE 7" numFmtId="0">
      <sharedItems containsNonDate="0" containsString="0" containsBlank="1"/>
    </cacheField>
    <cacheField name="ENGANCHE 8" numFmtId="0">
      <sharedItems containsNonDate="0" containsString="0" containsBlank="1"/>
    </cacheField>
    <cacheField name="ENGANCHE 9" numFmtId="0">
      <sharedItems containsNonDate="0" containsString="0" containsBlank="1"/>
    </cacheField>
    <cacheField name="ENGANCHE 10" numFmtId="0">
      <sharedItems containsNonDate="0" containsString="0" containsBlank="1"/>
    </cacheField>
    <cacheField name="ESTATUS ENGANCHE 1" numFmtId="0">
      <sharedItems containsBlank="1"/>
    </cacheField>
    <cacheField name="ESTATUS ENGANCHE 2" numFmtId="0">
      <sharedItems containsBlank="1"/>
    </cacheField>
    <cacheField name="ESTATUS ENGANCHE 3" numFmtId="0">
      <sharedItems containsBlank="1"/>
    </cacheField>
    <cacheField name="ESTATUS ENGANCHE 4" numFmtId="0">
      <sharedItems containsBlank="1"/>
    </cacheField>
    <cacheField name="ESTATUS ENGANCHE 5" numFmtId="0">
      <sharedItems containsBlank="1"/>
    </cacheField>
    <cacheField name="ESTATUS ENGANCHE 6" numFmtId="0">
      <sharedItems containsBlank="1"/>
    </cacheField>
    <cacheField name="ESTATUS ENGANCHE 7" numFmtId="0">
      <sharedItems containsNonDate="0" containsString="0" containsBlank="1"/>
    </cacheField>
    <cacheField name="ESTATUS ENGANCHE 8" numFmtId="0">
      <sharedItems containsNonDate="0" containsString="0" containsBlank="1"/>
    </cacheField>
    <cacheField name="ESTATUS ENGANCHE 9" numFmtId="0">
      <sharedItems containsNonDate="0" containsString="0" containsBlank="1"/>
    </cacheField>
    <cacheField name="ESTATUS ENGANCHE 10" numFmtId="0">
      <sharedItems containsNonDate="0" containsString="0" containsBlank="1"/>
    </cacheField>
    <cacheField name="SUMA VIGENTE" numFmtId="0">
      <sharedItems containsSemiMixedTypes="0" containsString="0" containsNumber="1" containsInteger="1" minValue="0" maxValue="60000"/>
    </cacheField>
    <cacheField name="SUMA PAGADO" numFmtId="0">
      <sharedItems containsSemiMixedTypes="0" containsString="0" containsNumber="1" containsInteger="1" minValue="0" maxValue="512000"/>
    </cacheField>
    <cacheField name="SUMA VENCIDO" numFmtId="0">
      <sharedItems containsSemiMixedTypes="0" containsString="0" containsNumber="1" containsInteger="1" minValue="0" maxValue="60000"/>
    </cacheField>
    <cacheField name="ENGANCHE 1 FECHA" numFmtId="0">
      <sharedItems containsNonDate="0" containsDate="1" containsString="0" containsBlank="1" minDate="2012-04-14T00:00:00" maxDate="2012-07-16T00:00:00"/>
    </cacheField>
    <cacheField name="ENGANCHE 2 FECHA" numFmtId="0">
      <sharedItems containsNonDate="0" containsDate="1" containsString="0" containsBlank="1" minDate="2012-04-29T00:00:00" maxDate="2012-07-31T00:00:00"/>
    </cacheField>
    <cacheField name="ENGANCHE 3 FECHA" numFmtId="0">
      <sharedItems containsNonDate="0" containsDate="1" containsString="0" containsBlank="1" minDate="2012-05-14T00:00:00" maxDate="2012-06-30T00:00:00"/>
    </cacheField>
    <cacheField name="ENGANCHE 4 FECHA" numFmtId="0">
      <sharedItems containsNonDate="0" containsDate="1" containsString="0" containsBlank="1" minDate="2012-05-29T00:00:00" maxDate="2012-07-03T00:00:00"/>
    </cacheField>
    <cacheField name="ENGANCHE 5 FECHA" numFmtId="0">
      <sharedItems containsNonDate="0" containsDate="1" containsString="0" containsBlank="1" minDate="2012-07-22T00:00:00" maxDate="2012-07-30T00:00:00"/>
    </cacheField>
    <cacheField name="ENGANCHE 6 FECHA" numFmtId="0">
      <sharedItems containsNonDate="0" containsDate="1" containsString="0" containsBlank="1" minDate="2012-07-30T00:00:00" maxDate="2012-07-31T00:00:00"/>
    </cacheField>
    <cacheField name="ENGANCHE 7 FECH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OMAR CASILLAS" refreshedDate="41122.568450462961" createdVersion="4" refreshedVersion="4" minRefreshableVersion="3" recordCount="296">
  <cacheSource type="worksheet">
    <worksheetSource ref="A1:DP297" sheet="BASE"/>
  </cacheSource>
  <cacheFields count="120">
    <cacheField name="No." numFmtId="0">
      <sharedItems containsString="0" containsBlank="1" containsNumber="1" containsInteger="1" minValue="1" maxValue="233"/>
    </cacheField>
    <cacheField name="CUV" numFmtId="0">
      <sharedItems containsBlank="1"/>
    </cacheField>
    <cacheField name="ID" numFmtId="0">
      <sharedItems containsBlank="1"/>
    </cacheField>
    <cacheField name="Manz" numFmtId="0">
      <sharedItems containsString="0" containsBlank="1" containsNumber="1" containsInteger="1" minValue="2" maxValue="6"/>
    </cacheField>
    <cacheField name="Macro Lote" numFmtId="0">
      <sharedItems containsString="0" containsBlank="1" containsNumber="1" containsInteger="1" minValue="1" maxValue="10"/>
    </cacheField>
    <cacheField name="Lote" numFmtId="0">
      <sharedItems containsString="0" containsBlank="1" containsNumber="1" containsInteger="1" minValue="1" maxValue="24"/>
    </cacheField>
    <cacheField name="Calle" numFmtId="0">
      <sharedItems containsBlank="1"/>
    </cacheField>
    <cacheField name="No. Oficial" numFmtId="0">
      <sharedItems containsNonDate="0" containsString="0" containsBlank="1"/>
    </cacheField>
    <cacheField name="ESTATUS UBICACIÓN" numFmtId="0">
      <sharedItems containsBlank="1" count="6">
        <s v="EN OBRA"/>
        <s v="LIBRE"/>
        <s v="BLOQUEADO"/>
        <s v="CON CLIENTE"/>
        <s v="FIRMADO"/>
        <m/>
      </sharedItems>
    </cacheField>
    <cacheField name="m2 Terreno" numFmtId="4">
      <sharedItems containsString="0" containsBlank="1" containsNumber="1" minValue="80" maxValue="287.90100000000001"/>
    </cacheField>
    <cacheField name="m2 Construccion" numFmtId="4">
      <sharedItems containsNonDate="0" containsString="0" containsBlank="1"/>
    </cacheField>
    <cacheField name="Prototipo" numFmtId="4">
      <sharedItems containsBlank="1"/>
    </cacheField>
    <cacheField name="ETAPA" numFmtId="10">
      <sharedItems containsBlank="1" count="7">
        <s v="ETAPA 3"/>
        <s v="ETAPA 2"/>
        <s v="ETAPA 1"/>
        <m/>
        <s v="E1" u="1"/>
        <s v="E3" u="1"/>
        <s v="E2" u="1"/>
      </sharedItems>
    </cacheField>
    <cacheField name="PRECIO" numFmtId="44">
      <sharedItems containsString="0" containsBlank="1" containsNumber="1" minValue="1126000" maxValue="1925023.8"/>
    </cacheField>
    <cacheField name="ID PORTAL" numFmtId="0">
      <sharedItems containsString="0" containsBlank="1" containsNumber="1" containsInteger="1" minValue="40" maxValue="272"/>
    </cacheField>
    <cacheField name="FECHA TERM. OBRA" numFmtId="14">
      <sharedItems containsNonDate="0" containsDate="1" containsString="0" containsBlank="1" minDate="2012-08-15T00:00:00" maxDate="2012-12-16T00:00:00"/>
    </cacheField>
    <cacheField name="PROY. OBRA" numFmtId="0">
      <sharedItems containsBlank="1"/>
    </cacheField>
    <cacheField name="% OBRA REAL" numFmtId="9">
      <sharedItems containsString="0" containsBlank="1" containsNumber="1" minValue="0" maxValue="1"/>
    </cacheField>
    <cacheField name="CRED. PUENTE" numFmtId="0">
      <sharedItems containsBlank="1" count="3">
        <s v="LIBERADO"/>
        <s v="NO LIBERADO"/>
        <m/>
      </sharedItems>
    </cacheField>
    <cacheField name="BANCO  ACREEDOR CP" numFmtId="0">
      <sharedItems containsBlank="1"/>
    </cacheField>
    <cacheField name="FECHA LIBERACIÓN C. PUENTE" numFmtId="0">
      <sharedItems containsNonDate="0" containsDate="1" containsString="0" containsBlank="1" minDate="2012-06-01T00:00:00" maxDate="2012-06-02T00:00:00"/>
    </cacheField>
    <cacheField name="VALOR LIBERACIÓN" numFmtId="44">
      <sharedItems containsString="0" containsBlank="1" containsNumber="1" minValue="563000" maxValue="962511.9"/>
    </cacheField>
    <cacheField name="MONTO MINISTRADO" numFmtId="44">
      <sharedItems containsString="0" containsBlank="1" containsNumber="1" minValue="0" maxValue="572335.5"/>
    </cacheField>
    <cacheField name="POR EJERCER" numFmtId="44">
      <sharedItems containsString="0" containsBlank="1" containsNumber="1" minValue="0" maxValue="636443.4"/>
    </cacheField>
    <cacheField name="CRED. PUENTE PAGADO" numFmtId="44">
      <sharedItems containsString="0" containsBlank="1" containsNumber="1" minValue="0" maxValue="450292.81100000005"/>
    </cacheField>
    <cacheField name="SALDO CRED. PUENTE" numFmtId="44">
      <sharedItems containsString="0" containsBlank="1" containsNumber="1" minValue="0" maxValue="572335.5"/>
    </cacheField>
    <cacheField name="% MINISTRADO" numFmtId="0">
      <sharedItems containsBlank="1" count="11">
        <s v="30%"/>
        <s v="85%"/>
        <s v="65%"/>
        <s v="40%"/>
        <s v="20%"/>
        <s v="80%"/>
        <s v="5%"/>
        <s v="50%"/>
        <s v="100%"/>
        <s v="99%"/>
        <m/>
      </sharedItems>
    </cacheField>
    <cacheField name="% X EJERCER" numFmtId="0">
      <sharedItems containsString="0" containsBlank="1" containsNumber="1" minValue="0" maxValue="0.95"/>
    </cacheField>
    <cacheField name="FECHA PAGO SIAPA" numFmtId="14">
      <sharedItems containsNonDate="0" containsDate="1" containsString="0" containsBlank="1" minDate="2012-03-14T00:00:00" maxDate="2012-07-29T00:00:00"/>
    </cacheField>
    <cacheField name="FECHA PAGO PREDIAL" numFmtId="14">
      <sharedItems containsNonDate="0" containsDate="1" containsString="0" containsBlank="1" minDate="2012-03-14T00:00:00" maxDate="2012-07-29T00:00:00"/>
    </cacheField>
    <cacheField name="FECHA EMISIÓN CLG" numFmtId="14">
      <sharedItems containsNonDate="0" containsDate="1" containsString="0" containsBlank="1" minDate="2012-03-14T00:00:00" maxDate="2012-07-29T00:00:00"/>
    </cacheField>
    <cacheField name="FECHA VISITA" numFmtId="0">
      <sharedItems containsNonDate="0" containsDate="1" containsString="0" containsBlank="1" minDate="2012-03-30T00:00:00" maxDate="2012-07-13T00:00:00"/>
    </cacheField>
    <cacheField name="CAJÓN FECHA VISITA" numFmtId="0">
      <sharedItems count="11">
        <s v="NA"/>
        <s v="MAYOR A 2 MESES"/>
        <s v="7MA SEM"/>
        <s v="8VA SEM"/>
        <s v="5TA SEM"/>
        <s v="3RA SEM"/>
        <s v="6TA SEM"/>
        <s v="4TA SEM"/>
        <s v="HASTA 3 DIAS" u="1"/>
        <s v="2DA SEM" u="1"/>
        <s v="1RA SEM" u="1"/>
      </sharedItems>
    </cacheField>
    <cacheField name="NOMBRE CLIENTE" numFmtId="0">
      <sharedItems containsBlank="1"/>
    </cacheField>
    <cacheField name="CALLE2" numFmtId="0">
      <sharedItems containsNonDate="0" containsString="0" containsBlank="1"/>
    </cacheField>
    <cacheField name="COLONIA" numFmtId="0">
      <sharedItems containsNonDate="0" containsString="0" containsBlank="1"/>
    </cacheField>
    <cacheField name="C.P." numFmtId="0">
      <sharedItems containsNonDate="0" containsString="0" containsBlank="1"/>
    </cacheField>
    <cacheField name="MUNICIPIO" numFmtId="0">
      <sharedItems containsNonDate="0" containsString="0" containsBlank="1"/>
    </cacheField>
    <cacheField name="ESTADO" numFmtId="0">
      <sharedItems containsNonDate="0" containsString="0" containsBlank="1"/>
    </cacheField>
    <cacheField name="CORREO ELECTRONICO" numFmtId="0">
      <sharedItems containsNonDate="0" containsString="0" containsBlank="1"/>
    </cacheField>
    <cacheField name="TELEFONO CASA" numFmtId="0">
      <sharedItems containsString="0" containsBlank="1" containsNumber="1" containsInteger="1" minValue="68846" maxValue="36514654"/>
    </cacheField>
    <cacheField name="TELEFONO MOVIL" numFmtId="0">
      <sharedItems containsString="0" containsBlank="1" containsNumber="1" containsInteger="1" minValue="21" maxValue="651361361"/>
    </cacheField>
    <cacheField name="TELEFONO RECADOS" numFmtId="0">
      <sharedItems containsBlank="1" containsMixedTypes="1" containsNumber="1" containsInteger="1" minValue="84" maxValue="32132"/>
    </cacheField>
    <cacheField name="SEMANA VISITA" numFmtId="0">
      <sharedItems/>
    </cacheField>
    <cacheField name="MES VISITA" numFmtId="0">
      <sharedItems/>
    </cacheField>
    <cacheField name="INGRESOS CONYUGALES" numFmtId="0">
      <sharedItems containsString="0" containsBlank="1" containsNumber="1" containsInteger="1" minValue="7000" maxValue="80000"/>
    </cacheField>
    <cacheField name="CAJÓN INGRESOS" numFmtId="0">
      <sharedItems count="7">
        <s v="ND"/>
        <s v="ENTRE 18 Y 25 MIL"/>
        <s v="ENTRE 12 Y 18 MIL"/>
        <s v="HASTA 12 MIL"/>
        <s v="ENTRE 25 Y 35 MIL"/>
        <s v="ENTRE 35 Y 45 MIL"/>
        <s v="MAYOR A 45 MILES"/>
      </sharedItems>
    </cacheField>
    <cacheField name="CANAL PROSPECCIÓN" numFmtId="0">
      <sharedItems containsBlank="1" count="8">
        <s v="PUBLICIDAD"/>
        <s v="FRACCIONAMIENTO"/>
        <m/>
        <s v="EXPO"/>
        <s v="ACTIVACION"/>
        <s v="RECOMENDADO"/>
        <s v="VENDEDOR"/>
        <s v="BASE DE DATOS"/>
      </sharedItems>
    </cacheField>
    <cacheField name="ESTATUS PROSPECCIÓN" numFmtId="0">
      <sharedItems containsBlank="1" count="6">
        <s v="APARTADO"/>
        <m/>
        <s v="POR CERRAR"/>
        <s v="NO PERFILADO"/>
        <s v="SIN INTERES"/>
        <s v="CANCELADO"/>
      </sharedItems>
    </cacheField>
    <cacheField name="CANAL FINANCIERO" numFmtId="0">
      <sharedItems containsBlank="1"/>
    </cacheField>
    <cacheField name="VENDEDOR ASIGNADO" numFmtId="0">
      <sharedItems containsBlank="1" count="6">
        <s v="AMG"/>
        <s v="MJV"/>
        <s v="MRV"/>
        <s v="SNM"/>
        <m/>
        <s v="AR"/>
      </sharedItems>
    </cacheField>
    <cacheField name="FECHA APARTADO" numFmtId="0">
      <sharedItems containsNonDate="0" containsDate="1" containsString="0" containsBlank="1" minDate="2012-03-30T00:00:00" maxDate="2012-07-15T00:00:00"/>
    </cacheField>
    <cacheField name="ESTATUS CLIENTE" numFmtId="0">
      <sharedItems containsBlank="1" count="10">
        <s v="ANÁLISIS"/>
        <s v="AUTORIZADO"/>
        <s v="COBRADO"/>
        <s v="INTEGRACIÓN"/>
        <s v="PREAUTORIZADO"/>
        <s v="SIN CLIENTE"/>
        <s v="FIRMADO"/>
        <s v="DICTAMINACIÓN"/>
        <s v="POR FIRMAR"/>
        <m/>
      </sharedItems>
    </cacheField>
    <cacheField name="FECHA INTEGRACIÓN" numFmtId="0">
      <sharedItems containsNonDate="0" containsDate="1" containsString="0" containsBlank="1" minDate="2012-03-30T00:00:00" maxDate="2012-07-18T00:00:00"/>
    </cacheField>
    <cacheField name="FECHA PROYECCIÓN FIRMA" numFmtId="0">
      <sharedItems containsNonDate="0" containsDate="1" containsString="0" containsBlank="1" minDate="2012-04-14T00:00:00" maxDate="2012-11-21T00:00:00"/>
    </cacheField>
    <cacheField name="FECHA AUTORIZACIÓN" numFmtId="0">
      <sharedItems containsNonDate="0" containsDate="1" containsString="0" containsBlank="1" minDate="2012-04-14T00:00:00" maxDate="2012-07-16T00:00:00"/>
    </cacheField>
    <cacheField name="AVALÚO" numFmtId="0">
      <sharedItems containsNonDate="0" containsString="0" containsBlank="1"/>
    </cacheField>
    <cacheField name="FECHA FIRMA" numFmtId="0">
      <sharedItems containsNonDate="0" containsDate="1" containsString="0" containsBlank="1" minDate="2012-04-26T00:00:00" maxDate="2012-06-28T00:00:00"/>
    </cacheField>
    <cacheField name="FECHA COBRO" numFmtId="0">
      <sharedItems containsNonDate="0" containsDate="1" containsString="0" containsBlank="1" minDate="2012-05-15T00:00:00" maxDate="2012-05-31T00:00:00"/>
    </cacheField>
    <cacheField name="COMENTARIOS" numFmtId="0">
      <sharedItems containsNonDate="0" containsString="0" containsBlank="1"/>
    </cacheField>
    <cacheField name="NOTARIA" numFmtId="0">
      <sharedItems containsString="0" containsBlank="1" containsNumber="1" containsInteger="1" minValue="58" maxValue="130"/>
    </cacheField>
    <cacheField name="FECHA ENTREGA VIV." numFmtId="0">
      <sharedItems containsNonDate="0" containsDate="1" containsString="0" containsBlank="1" minDate="2012-05-30T00:00:00" maxDate="2012-06-06T00:00:00"/>
    </cacheField>
    <cacheField name="ESTATUS COMISIÓN VENTA 1" numFmtId="0">
      <sharedItems containsBlank="1" count="4">
        <s v="PAGADA"/>
        <s v="PENDIENTE"/>
        <s v="X CANCELAR"/>
        <m/>
      </sharedItems>
    </cacheField>
    <cacheField name="ESTATUS COMISIÓN VENTA 2" numFmtId="0">
      <sharedItems containsBlank="1" count="3">
        <s v="PENDIENTE"/>
        <s v="PAGADA"/>
        <m/>
      </sharedItems>
    </cacheField>
    <cacheField name="ESTATUS COMISIÓN VENTA 3" numFmtId="0">
      <sharedItems containsBlank="1" count="3">
        <s v="PENDIENTE"/>
        <s v="PAGADA"/>
        <m/>
      </sharedItems>
    </cacheField>
    <cacheField name="% COMISIÓN" numFmtId="9">
      <sharedItems containsString="0" containsBlank="1" containsNumber="1" minValue="0.01" maxValue="0.01"/>
    </cacheField>
    <cacheField name="1ER PAGO" numFmtId="44">
      <sharedItems containsString="0" containsBlank="1" containsNumber="1" minValue="3753.3333333333335" maxValue="6416.7460000000001"/>
    </cacheField>
    <cacheField name="2DO PAGO" numFmtId="44">
      <sharedItems containsString="0" containsBlank="1" containsNumber="1" minValue="3753.3333333333335" maxValue="6416.7460000000001"/>
    </cacheField>
    <cacheField name="3ER PAGO" numFmtId="44">
      <sharedItems containsString="0" containsBlank="1" containsNumber="1" minValue="3753.3333333333335" maxValue="6416.7460000000001"/>
    </cacheField>
    <cacheField name="FECHA 1ER PAGO" numFmtId="0">
      <sharedItems containsNonDate="0" containsDate="1" containsString="0" containsBlank="1" minDate="2012-04-06T00:00:00" maxDate="2012-07-16T00:00:00"/>
    </cacheField>
    <cacheField name="FECHA 2DO PAGO" numFmtId="0">
      <sharedItems containsNonDate="0" containsDate="1" containsString="0" containsBlank="1" minDate="2012-04-30T00:00:00" maxDate="2012-07-31T00:00:00"/>
    </cacheField>
    <cacheField name="FECHA 3ER PAGO" numFmtId="0">
      <sharedItems containsNonDate="0" containsDate="1" containsString="0" containsBlank="1" minDate="2012-04-30T00:00:00" maxDate="2012-07-01T00:00:00"/>
    </cacheField>
    <cacheField name="FECHA CANCELACIÓN" numFmtId="0">
      <sharedItems containsNonDate="0" containsString="0" containsBlank="1"/>
    </cacheField>
    <cacheField name="CAJÓN COMISIÓN 1" numFmtId="0">
      <sharedItems containsBlank="1" count="8">
        <s v="2DA-JUN-2012"/>
        <s v="2DA-JUL-2012"/>
        <s v="2DA-ABR-2012"/>
        <s v="1ERA-MAY-2012"/>
        <s v="2DA-MAY-2012"/>
        <s v="ND"/>
        <s v="1ERA-ABR-2012"/>
        <m/>
      </sharedItems>
    </cacheField>
    <cacheField name="CAJÓN COMISIÓN 2" numFmtId="0">
      <sharedItems containsBlank="1"/>
    </cacheField>
    <cacheField name="CAJÓN COMISIÓN 3" numFmtId="0">
      <sharedItems containsBlank="1"/>
    </cacheField>
    <cacheField name="CAJÓN CANC COM" numFmtId="0">
      <sharedItems containsBlank="1"/>
    </cacheField>
    <cacheField name="SEMANA APARTADO" numFmtId="0">
      <sharedItems/>
    </cacheField>
    <cacheField name="MES APARTADO" numFmtId="0">
      <sharedItems/>
    </cacheField>
    <cacheField name="SEMANA FIRMA" numFmtId="0">
      <sharedItems/>
    </cacheField>
    <cacheField name="MES FIRMA" numFmtId="0">
      <sharedItems/>
    </cacheField>
    <cacheField name="SEMANA ENTREGA VIV" numFmtId="0">
      <sharedItems/>
    </cacheField>
    <cacheField name="MES ENTREGA VIV" numFmtId="0">
      <sharedItems/>
    </cacheField>
    <cacheField name="CAJÓN PROY. FIRMA" numFmtId="0">
      <sharedItems containsBlank="1" count="9">
        <s v="1RA-OCT"/>
        <s v="2DA-NOV"/>
        <s v="2DA-MAY"/>
        <s v="NA"/>
        <s v="2DA-ABR"/>
        <s v="1RA-MAY"/>
        <s v="2DA-AGO"/>
        <s v="2DA-JUN"/>
        <m/>
      </sharedItems>
    </cacheField>
    <cacheField name="DIAS APARTADO" numFmtId="0">
      <sharedItems containsBlank="1"/>
    </cacheField>
    <cacheField name="DIAS FIRMA" numFmtId="0">
      <sharedItems containsBlank="1"/>
    </cacheField>
    <cacheField name="SIAPA" numFmtId="0">
      <sharedItems count="12">
        <s v="HASTA 5 DIAS"/>
        <s v="DE 6 A 10 DIAS"/>
        <s v="DE 11 A 15 DIAS"/>
        <s v="DE 16 A 20 DIAS"/>
        <s v="DE 21 A 25 DIAS"/>
        <s v="DE 26 A 29 DIAS"/>
        <s v="30 DIAS"/>
        <s v="DE 31 A 35 DIAS"/>
        <s v="DE 36 A 45 DIAS"/>
        <s v="MAYOR A 45 DIAS"/>
        <s v="ND"/>
        <s v="" u="1"/>
      </sharedItems>
    </cacheField>
    <cacheField name="PREDIAL" numFmtId="0">
      <sharedItems count="12">
        <s v="HASTA 5 DIAS"/>
        <s v="DE 6 A 10 DIAS"/>
        <s v="DE 11 A 15 DIAS"/>
        <s v="DE 16 A 20 DIAS"/>
        <s v="DE 21 A 25 DIAS"/>
        <s v="DE 26 A 29 DIAS"/>
        <s v="30 DIAS"/>
        <s v="DE 31 A 35 DIAS"/>
        <s v="DE 36 A 45 DIAS"/>
        <s v="MAYOR A 45 DIAS"/>
        <s v="ND"/>
        <s v="" u="1"/>
      </sharedItems>
    </cacheField>
    <cacheField name="CLG" numFmtId="0">
      <sharedItems count="12">
        <s v="HASTA 5 DIAS"/>
        <s v="DE 6 A 10 DIAS"/>
        <s v="DE 11 A 15 DIAS"/>
        <s v="DE 16 A 20 DIAS"/>
        <s v="DE 21 A 25 DIAS"/>
        <s v="DE 26 A 29 DIAS"/>
        <s v="30 DIAS"/>
        <s v="DE 31 A 35 DIAS"/>
        <s v="DE 36 A 45 DIAS"/>
        <s v="MAYOR A 45 DIAS"/>
        <s v="ND"/>
        <s v="" u="1"/>
      </sharedItems>
    </cacheField>
    <cacheField name="APARTADO $" numFmtId="0">
      <sharedItems containsString="0" containsBlank="1" containsNumber="1" containsInteger="1" minValue="1000" maxValue="50000"/>
    </cacheField>
    <cacheField name="ENGANCHE 1" numFmtId="0">
      <sharedItems containsString="0" containsBlank="1" containsNumber="1" containsInteger="1" minValue="5000" maxValue="110000"/>
    </cacheField>
    <cacheField name="ENGANCHE 2" numFmtId="0">
      <sharedItems containsString="0" containsBlank="1" containsNumber="1" containsInteger="1" minValue="5000" maxValue="500000"/>
    </cacheField>
    <cacheField name="ENGANCHE 3" numFmtId="0">
      <sharedItems containsString="0" containsBlank="1" containsNumber="1" containsInteger="1" minValue="10000" maxValue="100000"/>
    </cacheField>
    <cacheField name="ENGANCHE 4" numFmtId="0">
      <sharedItems containsString="0" containsBlank="1" containsNumber="1" containsInteger="1" minValue="5000" maxValue="10000"/>
    </cacheField>
    <cacheField name="ENGANCHE 5" numFmtId="0">
      <sharedItems containsString="0" containsBlank="1" containsNumber="1" containsInteger="1" minValue="50000" maxValue="50000"/>
    </cacheField>
    <cacheField name="ENGANCHE 6" numFmtId="0">
      <sharedItems containsString="0" containsBlank="1" containsNumber="1" containsInteger="1" minValue="10000" maxValue="10000"/>
    </cacheField>
    <cacheField name="ENGANCHE 7" numFmtId="0">
      <sharedItems containsNonDate="0" containsString="0" containsBlank="1"/>
    </cacheField>
    <cacheField name="ENGANCHE 8" numFmtId="0">
      <sharedItems containsNonDate="0" containsString="0" containsBlank="1"/>
    </cacheField>
    <cacheField name="ENGANCHE 9" numFmtId="0">
      <sharedItems containsNonDate="0" containsString="0" containsBlank="1"/>
    </cacheField>
    <cacheField name="ENGANCHE 10" numFmtId="0">
      <sharedItems containsNonDate="0" containsString="0" containsBlank="1"/>
    </cacheField>
    <cacheField name="ESTATUS ENGANCHE 1" numFmtId="0">
      <sharedItems containsBlank="1"/>
    </cacheField>
    <cacheField name="ESTATUS ENGANCHE 2" numFmtId="0">
      <sharedItems containsBlank="1"/>
    </cacheField>
    <cacheField name="ESTATUS ENGANCHE 3" numFmtId="0">
      <sharedItems containsBlank="1"/>
    </cacheField>
    <cacheField name="ESTATUS ENGANCHE 4" numFmtId="0">
      <sharedItems containsBlank="1"/>
    </cacheField>
    <cacheField name="ESTATUS ENGANCHE 5" numFmtId="0">
      <sharedItems containsBlank="1"/>
    </cacheField>
    <cacheField name="ESTATUS ENGANCHE 6" numFmtId="0">
      <sharedItems containsBlank="1"/>
    </cacheField>
    <cacheField name="ESTATUS ENGANCHE 7" numFmtId="0">
      <sharedItems containsNonDate="0" containsString="0" containsBlank="1"/>
    </cacheField>
    <cacheField name="ESTATUS ENGANCHE 8" numFmtId="0">
      <sharedItems containsNonDate="0" containsString="0" containsBlank="1"/>
    </cacheField>
    <cacheField name="ESTATUS ENGANCHE 9" numFmtId="0">
      <sharedItems containsNonDate="0" containsString="0" containsBlank="1"/>
    </cacheField>
    <cacheField name="ESTATUS ENGANCHE 10" numFmtId="0">
      <sharedItems containsNonDate="0" containsString="0" containsBlank="1"/>
    </cacheField>
    <cacheField name="SUMA VIGENTE" numFmtId="0">
      <sharedItems containsSemiMixedTypes="0" containsString="0" containsNumber="1" containsInteger="1" minValue="0" maxValue="60000"/>
    </cacheField>
    <cacheField name="SUMA PAGADO" numFmtId="0">
      <sharedItems containsSemiMixedTypes="0" containsString="0" containsNumber="1" containsInteger="1" minValue="0" maxValue="512000"/>
    </cacheField>
    <cacheField name="SUMA VENCIDO" numFmtId="0">
      <sharedItems containsSemiMixedTypes="0" containsString="0" containsNumber="1" containsInteger="1" minValue="0" maxValue="60000"/>
    </cacheField>
    <cacheField name="ENGANCHE 1 FECHA" numFmtId="0">
      <sharedItems containsNonDate="0" containsDate="1" containsString="0" containsBlank="1" minDate="2012-04-14T00:00:00" maxDate="2012-07-16T00:00:00"/>
    </cacheField>
    <cacheField name="ENGANCHE 2 FECHA" numFmtId="0">
      <sharedItems containsNonDate="0" containsDate="1" containsString="0" containsBlank="1" minDate="2012-04-29T00:00:00" maxDate="2012-07-31T00:00:00"/>
    </cacheField>
    <cacheField name="ENGANCHE 3 FECHA" numFmtId="0">
      <sharedItems containsNonDate="0" containsDate="1" containsString="0" containsBlank="1" minDate="2012-05-14T00:00:00" maxDate="2012-06-30T00:00:00"/>
    </cacheField>
    <cacheField name="ENGANCHE 4 FECHA" numFmtId="0">
      <sharedItems containsNonDate="0" containsDate="1" containsString="0" containsBlank="1" minDate="2012-05-29T00:00:00" maxDate="2012-07-03T00:00:00"/>
    </cacheField>
    <cacheField name="ENGANCHE 5 FECHA" numFmtId="0">
      <sharedItems containsNonDate="0" containsDate="1" containsString="0" containsBlank="1" minDate="2012-07-22T00:00:00" maxDate="2012-07-30T00:00:00"/>
    </cacheField>
    <cacheField name="ENGANCHE 6 FECHA" numFmtId="0">
      <sharedItems containsNonDate="0" containsDate="1" containsString="0" containsBlank="1" minDate="2012-07-30T00:00:00" maxDate="2012-07-31T00:00:00"/>
    </cacheField>
    <cacheField name="ENGANCHE 7 FECH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6">
  <r>
    <n v="1"/>
    <s v="PTA NORTE "/>
    <s v="020101"/>
    <n v="2"/>
    <n v="1"/>
    <n v="1"/>
    <s v="TALAVERA"/>
    <m/>
    <s v="EN OBRA"/>
    <n v="90.179000000000002"/>
    <m/>
    <s v="AKUA"/>
    <x v="0"/>
    <n v="1164680.2"/>
    <n v="40"/>
    <d v="2012-11-15T00:00:00"/>
    <s v="2DA-NOV"/>
    <n v="0.1"/>
    <s v="LIBERADO"/>
    <s v="BANCOMER"/>
    <d v="2012-06-01T00:00:00"/>
    <n v="582340.1"/>
    <n v="174702.03"/>
    <n v="0"/>
    <n v="174702.03"/>
    <n v="0"/>
    <s v="30%"/>
    <n v="0.7"/>
    <d v="2012-07-28T00:00:00"/>
    <d v="2012-07-28T00:00:00"/>
    <d v="2012-07-28T00:00:00"/>
    <m/>
    <s v="NA"/>
    <m/>
    <m/>
    <m/>
    <m/>
    <m/>
    <m/>
    <m/>
    <m/>
    <m/>
    <m/>
    <s v="NA"/>
    <s v=""/>
    <m/>
    <s v="ND"/>
    <s v="PUBLICIDAD"/>
    <s v="APARTADO"/>
    <s v="INFONAVIT"/>
    <s v="AMG"/>
    <d v="2012-05-20T00:00:00"/>
    <x v="0"/>
    <d v="2012-05-30T00:00:00"/>
    <d v="2012-10-15T00:00:00"/>
    <m/>
    <m/>
    <m/>
    <m/>
    <m/>
    <m/>
    <m/>
    <s v="PAGADA"/>
    <s v="PENDIENTE"/>
    <s v="PENDIENTE"/>
    <n v="0.01"/>
    <n v="3882.2673333333332"/>
    <n v="3882.2673333333332"/>
    <n v="3882.2673333333332"/>
    <d v="2012-06-15T00:00:00"/>
    <m/>
    <m/>
    <m/>
    <s v="2DA-JUN-2012"/>
    <s v="ND"/>
    <s v="ND"/>
    <s v="ND"/>
    <s v="SEM 21"/>
    <s v="MAY"/>
    <s v="NA"/>
    <s v=""/>
    <s v="NA"/>
    <s v=""/>
    <s v="1RA-OCT"/>
    <s v="MAYOR A 2 MESES"/>
    <s v="NA"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64680.2"/>
  </r>
  <r>
    <n v="2"/>
    <s v="PTA NORTE "/>
    <s v="020102"/>
    <n v="2"/>
    <n v="1"/>
    <n v="2"/>
    <s v="TALAVERA"/>
    <m/>
    <s v="LIBRE"/>
    <n v="88.006"/>
    <m/>
    <s v="AKUA"/>
    <x v="0"/>
    <n v="1156422.8"/>
    <n v="41"/>
    <d v="2012-11-15T00:00:00"/>
    <s v="2DA-NOV"/>
    <n v="0.1"/>
    <s v="NO LIBERADO"/>
    <s v="BANCOMER"/>
    <m/>
    <n v="578211.4"/>
    <n v="491479.69"/>
    <n v="86731.710000000021"/>
    <n v="0"/>
    <n v="491479.69"/>
    <s v="85%"/>
    <n v="0.15000000000000002"/>
    <d v="2012-07-23T00:00:00"/>
    <d v="2012-07-23T00:00:00"/>
    <d v="2012-07-23T00:00:00"/>
    <m/>
    <s v="NA"/>
    <m/>
    <m/>
    <m/>
    <m/>
    <m/>
    <m/>
    <m/>
    <m/>
    <m/>
    <m/>
    <s v="NA"/>
    <s v=""/>
    <m/>
    <s v="ND"/>
    <s v="PUBLICIDAD"/>
    <s v="APARTADO"/>
    <s v="INFONAVIT"/>
    <s v="MJV"/>
    <d v="2012-07-14T00:00:00"/>
    <x v="0"/>
    <d v="2012-07-17T00:00:00"/>
    <d v="2012-10-15T00:00:00"/>
    <m/>
    <m/>
    <m/>
    <m/>
    <m/>
    <m/>
    <m/>
    <s v="PENDIENTE"/>
    <s v="PENDIENTE"/>
    <s v="PENDIENTE"/>
    <n v="0.01"/>
    <n v="3854.742666666667"/>
    <n v="3854.742666666667"/>
    <n v="3854.742666666667"/>
    <d v="2012-07-14T00:00:00"/>
    <m/>
    <m/>
    <m/>
    <s v="2DA-JUL-2012"/>
    <s v="ND"/>
    <s v="ND"/>
    <s v="ND"/>
    <s v="SEM 28"/>
    <s v="JUL"/>
    <s v="NA"/>
    <s v=""/>
    <s v="NA"/>
    <s v=""/>
    <s v="1RA-OCT"/>
    <s v="3RA SEM"/>
    <s v="NA"/>
    <s v="DE 6 A 10 DIAS"/>
    <s v="DE 6 A 10 DIAS"/>
    <s v="DE 6 A 1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56422.8"/>
  </r>
  <r>
    <n v="3"/>
    <s v="PTA NORTE "/>
    <s v="020103"/>
    <n v="2"/>
    <n v="1"/>
    <n v="3"/>
    <s v="TALAVERA"/>
    <m/>
    <s v="BLOQUEADO"/>
    <n v="89.86"/>
    <m/>
    <s v="MARINE"/>
    <x v="0"/>
    <n v="1172468"/>
    <n v="42"/>
    <d v="2012-11-15T00:00:00"/>
    <s v="2DA-NOV"/>
    <n v="0.1"/>
    <s v="NO LIBERADO"/>
    <s v="BANCOMER"/>
    <m/>
    <n v="586234"/>
    <n v="369327.42"/>
    <n v="216906.58000000002"/>
    <n v="0"/>
    <n v="369327.42"/>
    <s v="65%"/>
    <n v="0.35"/>
    <d v="2012-07-18T00:00:00"/>
    <d v="2012-07-18T00:00:00"/>
    <d v="2012-07-18T00:00:00"/>
    <m/>
    <s v="NA"/>
    <m/>
    <m/>
    <m/>
    <m/>
    <m/>
    <m/>
    <m/>
    <m/>
    <m/>
    <m/>
    <s v="NA"/>
    <s v=""/>
    <m/>
    <s v="ND"/>
    <s v="PUBLICIDAD"/>
    <s v="APARTADO"/>
    <s v="INFONAVIT"/>
    <s v="MRV"/>
    <d v="2012-04-13T00:00:00"/>
    <x v="0"/>
    <d v="2012-05-30T00:00:00"/>
    <d v="2012-10-15T00:00:00"/>
    <m/>
    <m/>
    <m/>
    <m/>
    <m/>
    <m/>
    <m/>
    <s v="PAGADA"/>
    <s v="PENDIENTE"/>
    <s v="PENDIENTE"/>
    <n v="0.01"/>
    <n v="3908.2266666666669"/>
    <n v="3908.2266666666669"/>
    <n v="3908.2266666666669"/>
    <d v="2012-06-15T00:00:00"/>
    <m/>
    <m/>
    <m/>
    <s v="2DA-JUN-2012"/>
    <s v="ND"/>
    <s v="ND"/>
    <s v="ND"/>
    <s v="SEM 15"/>
    <s v="ABR"/>
    <s v="NA"/>
    <s v=""/>
    <s v="NA"/>
    <s v=""/>
    <s v="1RA-OCT"/>
    <s v="MAYOR A 2 MESES"/>
    <s v="NA"/>
    <s v="DE 11 A 15 DIAS"/>
    <s v="DE 11 A 15 DIAS"/>
    <s v="DE 11 A 1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72468"/>
  </r>
  <r>
    <n v="4"/>
    <s v="PTA NORTE "/>
    <s v="020104"/>
    <n v="2"/>
    <n v="1"/>
    <n v="4"/>
    <s v="TALAVERA"/>
    <m/>
    <s v="CON CLIENTE"/>
    <n v="91.715000000000003"/>
    <m/>
    <s v="AKUA"/>
    <x v="0"/>
    <n v="1170517"/>
    <n v="43"/>
    <d v="2012-11-15T00:00:00"/>
    <s v="2DA-NOV"/>
    <n v="0.1"/>
    <s v="NO LIBERADO"/>
    <s v="BANCOMER"/>
    <m/>
    <n v="585258.5"/>
    <n v="368712.85499999998"/>
    <n v="216545.64500000002"/>
    <n v="0"/>
    <n v="368712.85499999998"/>
    <s v="65%"/>
    <n v="0.35"/>
    <d v="2012-07-13T00:00:00"/>
    <d v="2012-07-13T00:00:00"/>
    <d v="2012-07-13T00:00:00"/>
    <d v="2012-03-30T00:00:00"/>
    <s v="MAYOR A 2 MESES"/>
    <s v="IVONNE WIBON CORTES"/>
    <m/>
    <m/>
    <m/>
    <m/>
    <m/>
    <m/>
    <n v="513541"/>
    <n v="65416514"/>
    <s v="6+54351"/>
    <s v="SEM 13"/>
    <s v="MAR"/>
    <n v="22000"/>
    <s v="ENTRE 18 Y 25 MIL"/>
    <s v="PUBLICIDAD"/>
    <s v="APARTADO"/>
    <s v="FOVISSSTE"/>
    <s v="SNM"/>
    <d v="2012-03-30T00:00:00"/>
    <x v="1"/>
    <d v="2012-03-30T00:00:00"/>
    <d v="2012-11-20T00:00:00"/>
    <d v="2012-04-15T00:00:00"/>
    <m/>
    <m/>
    <m/>
    <m/>
    <n v="86"/>
    <m/>
    <s v="PAGADA"/>
    <s v="PENDIENTE"/>
    <s v="PENDIENTE"/>
    <n v="0.01"/>
    <n v="3901.7233333333334"/>
    <n v="3901.7233333333334"/>
    <n v="3901.7233333333334"/>
    <d v="2012-04-15T00:00:00"/>
    <m/>
    <m/>
    <m/>
    <s v="2DA-ABR-2012"/>
    <s v="ND"/>
    <s v="ND"/>
    <s v="ND"/>
    <s v="SEM 13"/>
    <s v="MAR"/>
    <s v="NA"/>
    <s v=""/>
    <s v="NA"/>
    <s v=""/>
    <s v="2DA-NOV"/>
    <s v="MAYOR A 2 MESES"/>
    <s v="NA"/>
    <s v="DE 16 A 20 DIAS"/>
    <s v="DE 16 A 20 DIAS"/>
    <s v="DE 16 A 20 DIAS"/>
    <n v="5000"/>
    <n v="30000"/>
    <n v="5000"/>
    <n v="50000"/>
    <n v="10000"/>
    <m/>
    <m/>
    <m/>
    <m/>
    <m/>
    <m/>
    <x v="1"/>
    <x v="1"/>
    <x v="1"/>
    <x v="1"/>
    <x v="0"/>
    <x v="0"/>
    <x v="0"/>
    <x v="0"/>
    <x v="0"/>
    <x v="0"/>
    <n v="0"/>
    <n v="35000"/>
    <n v="60000"/>
    <d v="2012-04-14T00:00:00"/>
    <d v="2012-04-29T00:00:00"/>
    <d v="2012-05-14T00:00:00"/>
    <d v="2012-05-29T00:00:00"/>
    <m/>
    <m/>
    <m/>
    <m/>
    <m/>
    <m/>
    <s v="SEM 15"/>
    <s v="SEM 18"/>
    <s v="SEM 20"/>
    <s v="SEM 22"/>
    <s v="NA"/>
    <s v="NA"/>
    <s v="NA"/>
    <s v="NA"/>
    <s v="NA"/>
    <s v="NA"/>
    <x v="1"/>
    <x v="1"/>
    <x v="1"/>
    <x v="1"/>
    <x v="0"/>
    <x v="0"/>
    <x v="0"/>
    <x v="0"/>
    <x v="0"/>
    <x v="0"/>
    <n v="2012"/>
    <n v="2012"/>
    <n v="2012"/>
    <n v="2012"/>
    <s v=""/>
    <s v=""/>
    <s v=""/>
    <s v=""/>
    <s v=""/>
    <s v=""/>
    <n v="1070517"/>
  </r>
  <r>
    <n v="5"/>
    <s v="PTA NORTE "/>
    <s v="020105"/>
    <n v="2"/>
    <n v="1"/>
    <n v="5"/>
    <s v="TALAVERA"/>
    <m/>
    <s v="FIRMADO"/>
    <n v="93.569000000000003"/>
    <m/>
    <s v="AKUA"/>
    <x v="0"/>
    <n v="1177562.2"/>
    <n v="44"/>
    <d v="2012-11-15T00:00:00"/>
    <s v="2DA-NOV"/>
    <n v="0.1"/>
    <s v="NO LIBERADO"/>
    <s v="BANCOMER"/>
    <m/>
    <n v="588781.1"/>
    <n v="370932.09299999999"/>
    <n v="217849.00699999998"/>
    <n v="0"/>
    <n v="370932.09299999999"/>
    <s v="65%"/>
    <n v="0.35"/>
    <d v="2012-07-07T00:00:00"/>
    <d v="2012-07-07T00:00:00"/>
    <d v="2012-07-07T00:00:00"/>
    <d v="2012-04-15T00:00:00"/>
    <s v="MAYOR A 2 MESES"/>
    <s v="JOSE CARTER RAZO"/>
    <m/>
    <m/>
    <m/>
    <m/>
    <m/>
    <m/>
    <n v="36321654"/>
    <n v="3216543"/>
    <m/>
    <s v="SEM 16"/>
    <s v="ABR"/>
    <n v="17000"/>
    <s v="ENTRE 12 Y 18 MIL"/>
    <s v="FRACCIONAMIENTO"/>
    <s v="APARTADO"/>
    <s v="BANCOS"/>
    <s v="MRV"/>
    <d v="2012-04-16T00:00:00"/>
    <x v="2"/>
    <d v="2012-04-30T00:00:00"/>
    <d v="2012-05-21T00:00:00"/>
    <d v="2012-05-12T00:00:00"/>
    <m/>
    <d v="2012-05-21T00:00:00"/>
    <d v="2012-05-30T00:00:00"/>
    <m/>
    <n v="86"/>
    <d v="2012-06-05T00:00:00"/>
    <s v="PAGADA"/>
    <s v="PAGADA"/>
    <s v="PAGADA"/>
    <n v="0.01"/>
    <n v="3925.2073333333333"/>
    <n v="3925.2073333333333"/>
    <n v="3925.2073333333333"/>
    <d v="2012-05-01T00:00:00"/>
    <d v="2012-05-15T00:00:00"/>
    <d v="2012-05-30T00:00:00"/>
    <m/>
    <s v="1ERA-MAY-2012"/>
    <s v="2DA-MAY-2012"/>
    <s v="2DA-MAY-2012"/>
    <s v="ND"/>
    <s v="SEM 16"/>
    <s v="ABR"/>
    <s v="SEM 21"/>
    <s v="MAY"/>
    <s v="SEM 23"/>
    <s v="JUN"/>
    <s v="2DA-MAY"/>
    <s v="MAYOR A 2 MESES"/>
    <s v="MAYOR A 2 MESES"/>
    <s v="DE 21 A 25 DIAS"/>
    <s v="DE 21 A 25 DIAS"/>
    <s v="DE 21 A 25 DIAS"/>
    <n v="5000"/>
    <n v="20000"/>
    <n v="200000"/>
    <m/>
    <m/>
    <m/>
    <m/>
    <m/>
    <m/>
    <m/>
    <m/>
    <x v="1"/>
    <x v="1"/>
    <x v="0"/>
    <x v="0"/>
    <x v="0"/>
    <x v="0"/>
    <x v="0"/>
    <x v="0"/>
    <x v="0"/>
    <x v="0"/>
    <n v="0"/>
    <n v="220000"/>
    <n v="0"/>
    <d v="2012-04-20T00:00:00"/>
    <d v="2012-05-15T00:00:00"/>
    <m/>
    <m/>
    <m/>
    <m/>
    <m/>
    <m/>
    <m/>
    <m/>
    <s v="SEM 16"/>
    <s v="SEM 20"/>
    <s v="NA"/>
    <s v="NA"/>
    <s v="NA"/>
    <s v="NA"/>
    <s v="NA"/>
    <s v="NA"/>
    <s v="NA"/>
    <s v="NA"/>
    <x v="1"/>
    <x v="2"/>
    <x v="0"/>
    <x v="0"/>
    <x v="0"/>
    <x v="0"/>
    <x v="0"/>
    <x v="0"/>
    <x v="0"/>
    <x v="0"/>
    <n v="2012"/>
    <n v="2012"/>
    <s v=""/>
    <s v=""/>
    <s v=""/>
    <s v=""/>
    <s v=""/>
    <s v=""/>
    <s v=""/>
    <s v=""/>
    <n v="952562.2"/>
  </r>
  <r>
    <n v="6"/>
    <s v="PTA NORTE "/>
    <s v="020106"/>
    <n v="2"/>
    <n v="1"/>
    <n v="6"/>
    <s v="TALAVERA"/>
    <m/>
    <s v="EN OBRA"/>
    <n v="104.95099999999999"/>
    <m/>
    <s v="MARINE"/>
    <x v="0"/>
    <n v="1229813.8"/>
    <n v="45"/>
    <d v="2012-11-15T00:00:00"/>
    <s v="2DA-NOV"/>
    <n v="0.1"/>
    <s v="NO LIBERADO"/>
    <s v="BANCOMER"/>
    <m/>
    <n v="614906.9"/>
    <n v="387391.34700000001"/>
    <n v="227515.55300000001"/>
    <n v="0"/>
    <n v="387391.34700000001"/>
    <s v="65%"/>
    <n v="0.35"/>
    <d v="2012-07-03T00:00:00"/>
    <d v="2012-07-03T00:00:00"/>
    <d v="2012-07-03T00:00:00"/>
    <m/>
    <s v="NA"/>
    <m/>
    <m/>
    <m/>
    <m/>
    <m/>
    <m/>
    <m/>
    <m/>
    <m/>
    <m/>
    <s v="NA"/>
    <s v=""/>
    <m/>
    <s v="ND"/>
    <s v="PUBLICIDAD"/>
    <s v="APARTADO"/>
    <s v="INFONAVIT"/>
    <s v="AMG"/>
    <d v="2012-05-20T00:00:00"/>
    <x v="0"/>
    <d v="2012-05-30T00:00:00"/>
    <d v="2012-10-15T00:00:00"/>
    <m/>
    <m/>
    <m/>
    <m/>
    <m/>
    <m/>
    <m/>
    <s v="PAGADA"/>
    <s v="PENDIENTE"/>
    <s v="PENDIENTE"/>
    <n v="0.01"/>
    <n v="4099.3793333333333"/>
    <n v="4099.3793333333333"/>
    <n v="4099.3793333333333"/>
    <d v="2012-06-15T00:00:00"/>
    <m/>
    <m/>
    <m/>
    <s v="2DA-JUN-2012"/>
    <s v="ND"/>
    <s v="ND"/>
    <s v="ND"/>
    <s v="SEM 21"/>
    <s v="MAY"/>
    <s v="NA"/>
    <s v=""/>
    <s v="NA"/>
    <s v=""/>
    <s v="1RA-OCT"/>
    <s v="MAYOR A 2 MESES"/>
    <s v="NA"/>
    <s v="DE 26 A 29 DIAS"/>
    <s v="DE 26 A 29 DIAS"/>
    <s v="DE 26 A 29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29813.8"/>
  </r>
  <r>
    <n v="7"/>
    <s v="PTA NORTE "/>
    <s v="020201"/>
    <n v="2"/>
    <n v="2"/>
    <n v="1"/>
    <s v="ESTRELLA ORIENTE"/>
    <m/>
    <s v="EN OBRA"/>
    <n v="83.653999999999996"/>
    <m/>
    <s v="MARINE"/>
    <x v="0"/>
    <n v="1148885.2"/>
    <n v="46"/>
    <d v="2012-11-15T00:00:00"/>
    <s v="2DA-NOV"/>
    <n v="0.1"/>
    <s v="NO LIBERADO"/>
    <s v="BANCOMER"/>
    <m/>
    <n v="574442.6"/>
    <n v="361898.83799999999"/>
    <n v="212543.76199999999"/>
    <n v="0"/>
    <n v="361898.83799999999"/>
    <s v="65%"/>
    <n v="0.35"/>
    <d v="2012-07-02T00:00:00"/>
    <d v="2012-07-02T00:00:00"/>
    <d v="2012-07-02T00:00:00"/>
    <m/>
    <s v="NA"/>
    <m/>
    <m/>
    <m/>
    <m/>
    <m/>
    <m/>
    <m/>
    <m/>
    <m/>
    <m/>
    <s v="NA"/>
    <s v=""/>
    <m/>
    <s v="ND"/>
    <s v="PUBLICIDAD"/>
    <s v="APARTADO"/>
    <s v="INFONAVIT"/>
    <s v="SNM"/>
    <d v="2012-06-15T00:00:00"/>
    <x v="3"/>
    <d v="2012-06-20T00:00:00"/>
    <d v="2012-10-15T00:00:00"/>
    <m/>
    <m/>
    <m/>
    <m/>
    <m/>
    <m/>
    <m/>
    <s v="PAGADA"/>
    <s v="PENDIENTE"/>
    <s v="PENDIENTE"/>
    <n v="0.01"/>
    <n v="3829.6173333333331"/>
    <n v="3829.6173333333331"/>
    <n v="3829.6173333333331"/>
    <d v="2012-06-30T00:00:00"/>
    <m/>
    <m/>
    <m/>
    <s v="2DA-JUN-2012"/>
    <s v="ND"/>
    <s v="ND"/>
    <s v="ND"/>
    <s v="SEM 24"/>
    <s v="JUN"/>
    <s v="NA"/>
    <s v=""/>
    <s v="NA"/>
    <s v=""/>
    <s v="1RA-OCT"/>
    <s v="7MA SEM"/>
    <s v="NA"/>
    <s v="30 DIAS"/>
    <s v="30 DIAS"/>
    <s v="3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8885.2"/>
  </r>
  <r>
    <n v="8"/>
    <s v="PTA NORTE "/>
    <s v="020202"/>
    <n v="2"/>
    <n v="2"/>
    <n v="2"/>
    <s v="ESTRELLA ORIENTE"/>
    <m/>
    <s v="EN OBRA"/>
    <n v="80"/>
    <m/>
    <s v="AKUA"/>
    <x v="0"/>
    <n v="1126000"/>
    <n v="47"/>
    <d v="2012-11-15T00:00:00"/>
    <s v="2DA-NOV"/>
    <n v="0.1"/>
    <s v="NO LIBERADO"/>
    <s v="BANCOMER"/>
    <m/>
    <n v="563000"/>
    <n v="354690"/>
    <n v="208310"/>
    <n v="0"/>
    <n v="354690"/>
    <s v="65%"/>
    <n v="0.35"/>
    <d v="2012-06-28T00:00:00"/>
    <d v="2012-06-28T00:00:00"/>
    <d v="2012-06-28T00:00:00"/>
    <m/>
    <s v="NA"/>
    <m/>
    <m/>
    <m/>
    <m/>
    <m/>
    <m/>
    <m/>
    <m/>
    <m/>
    <m/>
    <s v="NA"/>
    <s v=""/>
    <m/>
    <s v="ND"/>
    <s v="PUBLICIDAD"/>
    <s v="APARTADO"/>
    <s v="INFONAVIT"/>
    <s v="MJV"/>
    <d v="2012-05-20T00:00:00"/>
    <x v="3"/>
    <d v="2012-05-25T00:00:00"/>
    <d v="2012-10-15T00:00:00"/>
    <m/>
    <m/>
    <m/>
    <m/>
    <m/>
    <m/>
    <m/>
    <s v="X CANCELAR"/>
    <s v="PENDIENTE"/>
    <s v="PENDIENTE"/>
    <n v="0.01"/>
    <n v="3753.3333333333335"/>
    <n v="3753.3333333333335"/>
    <n v="3753.3333333333335"/>
    <d v="2012-05-30T00:00:00"/>
    <m/>
    <m/>
    <m/>
    <s v="2DA-MAY-2012"/>
    <s v="ND"/>
    <s v="ND"/>
    <s v="ND"/>
    <s v="SEM 21"/>
    <s v="MAY"/>
    <s v="NA"/>
    <s v=""/>
    <s v="NA"/>
    <s v=""/>
    <s v="1RA-OCT"/>
    <s v="MAYOR A 2 MESES"/>
    <s v="NA"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9"/>
    <s v="PTA NORTE "/>
    <s v="020203"/>
    <n v="2"/>
    <n v="2"/>
    <n v="3"/>
    <s v="ESTRELLA ORIENTE"/>
    <m/>
    <s v="EN OBRA"/>
    <n v="80"/>
    <m/>
    <s v="AKUA"/>
    <x v="0"/>
    <n v="1126000"/>
    <n v="48"/>
    <d v="2012-11-15T00:00:00"/>
    <s v="2DA-NOV"/>
    <n v="0.1"/>
    <s v="NO LIBERADO"/>
    <s v="BANCOMER"/>
    <m/>
    <n v="563000"/>
    <n v="354690"/>
    <n v="208310"/>
    <n v="0"/>
    <n v="354690"/>
    <s v="65%"/>
    <n v="0.35"/>
    <d v="2012-06-23T00:00:00"/>
    <d v="2012-06-23T00:00:00"/>
    <d v="2012-06-23T00:00:00"/>
    <m/>
    <s v="NA"/>
    <m/>
    <m/>
    <m/>
    <m/>
    <m/>
    <m/>
    <m/>
    <m/>
    <m/>
    <m/>
    <s v="NA"/>
    <s v=""/>
    <m/>
    <s v="ND"/>
    <s v="PUBLICIDAD"/>
    <s v="APARTADO"/>
    <s v="INFONAVIT"/>
    <s v="MJV"/>
    <d v="2012-07-14T00:00:00"/>
    <x v="3"/>
    <d v="2012-07-16T00:00:00"/>
    <d v="2012-10-15T00:00:00"/>
    <m/>
    <m/>
    <m/>
    <m/>
    <m/>
    <m/>
    <m/>
    <s v="PENDIENTE"/>
    <s v="PENDIENTE"/>
    <s v="PENDIENTE"/>
    <n v="0.01"/>
    <n v="3753.3333333333335"/>
    <n v="3753.3333333333335"/>
    <n v="3753.3333333333335"/>
    <d v="2012-07-15T00:00:00"/>
    <m/>
    <m/>
    <m/>
    <s v="2DA-JUL-2012"/>
    <s v="ND"/>
    <s v="ND"/>
    <s v="ND"/>
    <s v="SEM 28"/>
    <s v="JUL"/>
    <s v="NA"/>
    <s v=""/>
    <s v="NA"/>
    <s v=""/>
    <s v="1RA-OCT"/>
    <s v="3RA SEM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0"/>
    <s v="PTA NORTE "/>
    <s v="020204"/>
    <n v="2"/>
    <n v="2"/>
    <n v="4"/>
    <s v="ESTRELLA ORIENTE"/>
    <m/>
    <s v="EN OBRA"/>
    <n v="80"/>
    <m/>
    <s v="MARINE"/>
    <x v="0"/>
    <n v="1135000"/>
    <n v="49"/>
    <d v="2012-11-15T00:00:00"/>
    <s v="2DA-NOV"/>
    <n v="0.1"/>
    <s v="NO LIBERADO"/>
    <s v="BANCOMER"/>
    <m/>
    <n v="567500"/>
    <n v="357525"/>
    <n v="209975"/>
    <n v="0"/>
    <n v="357525"/>
    <s v="65%"/>
    <n v="0.35"/>
    <d v="2012-06-17T00:00:00"/>
    <d v="2012-06-17T00:00:00"/>
    <d v="2012-06-17T00:00:00"/>
    <m/>
    <s v="NA"/>
    <m/>
    <m/>
    <m/>
    <m/>
    <m/>
    <m/>
    <m/>
    <m/>
    <m/>
    <m/>
    <s v="NA"/>
    <s v=""/>
    <m/>
    <s v="ND"/>
    <s v="PUBLICIDAD"/>
    <s v="APARTADO"/>
    <s v="INFONAVIT"/>
    <s v="SNM"/>
    <d v="2012-04-13T00:00:00"/>
    <x v="4"/>
    <d v="2012-04-30T00:00:00"/>
    <d v="2012-10-15T00:00:00"/>
    <m/>
    <m/>
    <m/>
    <m/>
    <m/>
    <m/>
    <m/>
    <s v="PAGADA"/>
    <s v="PENDIENTE"/>
    <s v="PENDIENTE"/>
    <n v="0.01"/>
    <n v="3783.3333333333335"/>
    <n v="3783.3333333333335"/>
    <n v="3783.3333333333335"/>
    <d v="2012-05-15T00:00:00"/>
    <m/>
    <m/>
    <m/>
    <s v="2DA-MAY-2012"/>
    <s v="ND"/>
    <s v="ND"/>
    <s v="ND"/>
    <s v="SEM 15"/>
    <s v="ABR"/>
    <s v="NA"/>
    <s v=""/>
    <s v="NA"/>
    <s v=""/>
    <s v="1RA-OCT"/>
    <s v="MAYOR A 2 MESES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1"/>
    <s v="PTA NORTE "/>
    <s v="020205"/>
    <n v="2"/>
    <n v="2"/>
    <n v="5"/>
    <s v="ESTRELLA ORIENTE"/>
    <m/>
    <s v="EN OBRA"/>
    <n v="80"/>
    <m/>
    <s v="AKUA"/>
    <x v="0"/>
    <n v="1126000"/>
    <n v="50"/>
    <d v="2012-11-15T00:00:00"/>
    <s v="2DA-NOV"/>
    <n v="0.1"/>
    <s v="NO LIBERADO"/>
    <s v="BANCOMER"/>
    <m/>
    <n v="563000"/>
    <n v="354690"/>
    <n v="208310"/>
    <n v="0"/>
    <n v="354690"/>
    <s v="65%"/>
    <n v="0.35"/>
    <d v="2012-06-12T00:00:00"/>
    <d v="2012-06-12T00:00:00"/>
    <d v="2012-06-12T00:00:00"/>
    <m/>
    <s v="NA"/>
    <m/>
    <m/>
    <m/>
    <m/>
    <m/>
    <m/>
    <m/>
    <m/>
    <m/>
    <m/>
    <s v="NA"/>
    <s v=""/>
    <m/>
    <s v="ND"/>
    <s v="PUBLICIDAD"/>
    <s v="APARTADO"/>
    <s v="INFONAVIT"/>
    <s v="MRV"/>
    <d v="2012-05-20T00:00:00"/>
    <x v="4"/>
    <d v="2012-05-30T00:00:00"/>
    <d v="2012-10-15T00:00:00"/>
    <m/>
    <m/>
    <m/>
    <m/>
    <m/>
    <m/>
    <m/>
    <s v="PAGADA"/>
    <s v="PENDIENTE"/>
    <s v="PENDIENTE"/>
    <n v="0.01"/>
    <n v="3753.3333333333335"/>
    <n v="3753.3333333333335"/>
    <n v="3753.3333333333335"/>
    <d v="2012-05-30T00:00:00"/>
    <m/>
    <m/>
    <m/>
    <s v="2DA-MAY-2012"/>
    <s v="ND"/>
    <s v="ND"/>
    <s v="ND"/>
    <s v="SEM 21"/>
    <s v="MAY"/>
    <s v="NA"/>
    <s v=""/>
    <s v="NA"/>
    <s v=""/>
    <s v="1RA-OCT"/>
    <s v="MAYOR A 2 MESES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2"/>
    <s v="PTA NORTE "/>
    <s v="020206"/>
    <n v="2"/>
    <n v="2"/>
    <n v="6"/>
    <s v="ESTRELLA ORIENTE"/>
    <m/>
    <s v="EN OBRA"/>
    <n v="80"/>
    <m/>
    <s v="AKUA"/>
    <x v="0"/>
    <n v="1126000"/>
    <n v="51"/>
    <d v="2012-11-15T00:00:00"/>
    <s v="2DA-NOV"/>
    <n v="0.1"/>
    <s v="NO LIBERADO"/>
    <s v="BANCOMER"/>
    <m/>
    <n v="563000"/>
    <n v="354690"/>
    <n v="208310"/>
    <n v="0"/>
    <n v="354690"/>
    <s v="65%"/>
    <n v="0.35"/>
    <d v="2012-07-28T00:00:00"/>
    <d v="2012-07-28T00:00:00"/>
    <d v="2012-07-28T00:00:00"/>
    <m/>
    <s v="NA"/>
    <m/>
    <m/>
    <m/>
    <m/>
    <m/>
    <m/>
    <m/>
    <m/>
    <m/>
    <m/>
    <s v="NA"/>
    <s v=""/>
    <m/>
    <s v="ND"/>
    <s v="PUBLICIDAD"/>
    <s v="APARTADO"/>
    <s v="INFONAVIT"/>
    <s v="SNM"/>
    <d v="2012-05-20T00:00:00"/>
    <x v="4"/>
    <d v="2012-05-30T00:00:00"/>
    <d v="2012-10-15T00:00:00"/>
    <m/>
    <m/>
    <m/>
    <m/>
    <m/>
    <m/>
    <m/>
    <s v="PAGADA"/>
    <s v="PENDIENTE"/>
    <s v="PENDIENTE"/>
    <n v="0.01"/>
    <n v="3753.3333333333335"/>
    <n v="3753.3333333333335"/>
    <n v="3753.3333333333335"/>
    <d v="2012-06-15T00:00:00"/>
    <m/>
    <m/>
    <m/>
    <s v="2DA-JUN-2012"/>
    <s v="ND"/>
    <s v="ND"/>
    <s v="ND"/>
    <s v="SEM 21"/>
    <s v="MAY"/>
    <s v="NA"/>
    <s v=""/>
    <s v="NA"/>
    <s v=""/>
    <s v="1RA-OCT"/>
    <s v="MAYOR A 2 MESES"/>
    <s v="NA"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3"/>
    <s v="PTA NORTE "/>
    <s v="020207"/>
    <n v="2"/>
    <n v="2"/>
    <n v="7"/>
    <s v="ESTRELLA ORIENTE"/>
    <m/>
    <s v="EN OBRA"/>
    <n v="106.81"/>
    <m/>
    <s v="MARINE"/>
    <x v="0"/>
    <n v="1236878"/>
    <n v="52"/>
    <d v="2012-11-15T00:00:00"/>
    <s v="2DA-NOV"/>
    <n v="0.1"/>
    <s v="NO LIBERADO"/>
    <s v="BANCOMER"/>
    <m/>
    <n v="618439"/>
    <n v="389616.57"/>
    <n v="228822.43"/>
    <n v="0"/>
    <n v="389616.57"/>
    <s v="65%"/>
    <n v="0.35"/>
    <d v="2012-07-28T00:00:00"/>
    <d v="2012-07-28T00:00:00"/>
    <d v="2012-07-28T00:00:00"/>
    <m/>
    <s v="NA"/>
    <m/>
    <m/>
    <m/>
    <m/>
    <m/>
    <m/>
    <m/>
    <m/>
    <m/>
    <m/>
    <s v="NA"/>
    <s v=""/>
    <m/>
    <s v="ND"/>
    <s v="PUBLICIDAD"/>
    <s v="APARTADO"/>
    <s v="INFONAVIT"/>
    <s v="AMG"/>
    <d v="2012-06-15T00:00:00"/>
    <x v="4"/>
    <d v="2012-06-17T00:00:00"/>
    <d v="2012-10-15T00:00:00"/>
    <m/>
    <m/>
    <m/>
    <m/>
    <m/>
    <m/>
    <m/>
    <s v="X CANCELAR"/>
    <s v="PENDIENTE"/>
    <s v="PENDIENTE"/>
    <n v="0.01"/>
    <n v="4122.9266666666672"/>
    <n v="4122.9266666666672"/>
    <n v="4122.9266666666672"/>
    <d v="2012-06-30T00:00:00"/>
    <m/>
    <m/>
    <m/>
    <s v="2DA-JUN-2012"/>
    <s v="ND"/>
    <s v="ND"/>
    <s v="ND"/>
    <s v="SEM 24"/>
    <s v="JUN"/>
    <s v="NA"/>
    <s v=""/>
    <s v="NA"/>
    <s v=""/>
    <s v="1RA-OCT"/>
    <s v="7MA SEM"/>
    <s v="NA"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36878"/>
  </r>
  <r>
    <n v="14"/>
    <s v="PTA NORTE "/>
    <s v="020208"/>
    <n v="2"/>
    <n v="2"/>
    <n v="8"/>
    <s v="ESTRELLA ORIENTE"/>
    <m/>
    <s v="EN OBRA"/>
    <n v="80"/>
    <m/>
    <s v="AKUA"/>
    <x v="0"/>
    <n v="1126000"/>
    <n v="53"/>
    <d v="2012-11-15T00:00:00"/>
    <s v="2DA-NOV"/>
    <n v="0.1"/>
    <s v="NO LIBERADO"/>
    <s v="BANCOMER"/>
    <m/>
    <n v="563000"/>
    <n v="225200"/>
    <n v="337800"/>
    <n v="0"/>
    <n v="225200"/>
    <s v="40%"/>
    <n v="0.6"/>
    <d v="2012-07-28T00:00:00"/>
    <d v="2012-07-28T00:00:00"/>
    <d v="2012-07-28T00:00:00"/>
    <m/>
    <s v="NA"/>
    <m/>
    <m/>
    <m/>
    <m/>
    <m/>
    <m/>
    <m/>
    <m/>
    <m/>
    <m/>
    <s v="NA"/>
    <s v=""/>
    <m/>
    <s v="ND"/>
    <s v="PUBLICIDAD"/>
    <s v="APARTADO"/>
    <s v="INFONAVIT"/>
    <s v="MJV"/>
    <d v="2012-06-15T00:00:00"/>
    <x v="0"/>
    <d v="2012-06-20T00:00:00"/>
    <d v="2012-10-15T00:00:00"/>
    <m/>
    <m/>
    <m/>
    <m/>
    <m/>
    <m/>
    <m/>
    <s v="X CANCELAR"/>
    <s v="PENDIENTE"/>
    <s v="PENDIENTE"/>
    <n v="0.01"/>
    <n v="3753.3333333333335"/>
    <n v="3753.3333333333335"/>
    <n v="3753.3333333333335"/>
    <d v="2012-06-30T00:00:00"/>
    <m/>
    <m/>
    <m/>
    <s v="2DA-JUN-2012"/>
    <s v="ND"/>
    <s v="ND"/>
    <s v="ND"/>
    <s v="SEM 24"/>
    <s v="JUN"/>
    <s v="NA"/>
    <s v=""/>
    <s v="NA"/>
    <s v=""/>
    <s v="1RA-OCT"/>
    <s v="7MA SEM"/>
    <s v="NA"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5"/>
    <s v="PTA NORTE "/>
    <s v="020209"/>
    <n v="2"/>
    <n v="2"/>
    <n v="9"/>
    <s v="ESTRELLA ORIENTE"/>
    <m/>
    <s v="EN OBRA"/>
    <n v="80"/>
    <m/>
    <s v="AKUA"/>
    <x v="0"/>
    <n v="1126000"/>
    <n v="54"/>
    <d v="2012-11-15T00:00:00"/>
    <s v="2DA-NOV"/>
    <n v="0.1"/>
    <s v="NO LIBERADO"/>
    <s v="BANCOMER"/>
    <m/>
    <n v="563000"/>
    <n v="225200"/>
    <n v="337800"/>
    <n v="0"/>
    <n v="225200"/>
    <s v="40%"/>
    <n v="0.6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6"/>
    <s v="PTA NORTE "/>
    <s v="020210"/>
    <n v="2"/>
    <n v="2"/>
    <n v="10"/>
    <s v="ESTRELLA ORIENTE"/>
    <m/>
    <s v="EN OBRA"/>
    <n v="80"/>
    <m/>
    <s v="MARINE"/>
    <x v="0"/>
    <n v="1135000"/>
    <n v="55"/>
    <d v="2012-11-15T00:00:00"/>
    <s v="2DA-NOV"/>
    <n v="0.1"/>
    <s v="NO LIBERADO"/>
    <s v="BANCOMER"/>
    <m/>
    <n v="567500"/>
    <n v="227000"/>
    <n v="340500"/>
    <n v="0"/>
    <n v="227000"/>
    <s v="40%"/>
    <n v="0.6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7"/>
    <s v="PTA NORTE "/>
    <s v="020211"/>
    <n v="2"/>
    <n v="2"/>
    <n v="11"/>
    <s v="ESTRELLA ORIENTE"/>
    <m/>
    <s v="EN OBRA"/>
    <n v="80"/>
    <m/>
    <s v="AKUA"/>
    <x v="0"/>
    <n v="1126000"/>
    <n v="56"/>
    <d v="2012-11-15T00:00:00"/>
    <s v="2DA-NOV"/>
    <n v="0.1"/>
    <s v="NO LIBERADO"/>
    <s v="BANCOMER"/>
    <m/>
    <n v="563000"/>
    <n v="225200"/>
    <n v="337800"/>
    <n v="0"/>
    <n v="225200"/>
    <s v="40%"/>
    <n v="0.6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8"/>
    <s v="PTA NORTE "/>
    <s v="020212"/>
    <n v="2"/>
    <n v="2"/>
    <n v="12"/>
    <s v="ESTRELLA ORIENTE"/>
    <m/>
    <s v="EN OBRA"/>
    <n v="80"/>
    <m/>
    <s v="AKUA"/>
    <x v="0"/>
    <n v="1126000"/>
    <n v="57"/>
    <d v="2012-11-23T00:00:00"/>
    <s v="2DA-NOV"/>
    <n v="0.1"/>
    <s v="NO LIBERADO"/>
    <s v="BANCOMER"/>
    <m/>
    <n v="563000"/>
    <n v="225200"/>
    <n v="337800"/>
    <n v="0"/>
    <n v="225200"/>
    <s v="40%"/>
    <n v="0.6"/>
    <d v="2012-06-30T00:00:00"/>
    <d v="2012-06-30T00:00:00"/>
    <d v="2012-06-30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9"/>
    <s v="PTA NORTE "/>
    <s v="020213"/>
    <n v="2"/>
    <n v="2"/>
    <n v="13"/>
    <s v="ESTRELLA ORIENTE"/>
    <m/>
    <s v="EN OBRA"/>
    <n v="83.468999999999994"/>
    <m/>
    <s v="MARINE"/>
    <x v="0"/>
    <n v="1148182.2"/>
    <n v="58"/>
    <d v="2012-11-23T00:00:00"/>
    <s v="2DA-NOV"/>
    <n v="0.1"/>
    <s v="NO LIBERADO"/>
    <s v="BANCOMER"/>
    <m/>
    <n v="574091.1"/>
    <n v="229636.44"/>
    <n v="344454.66"/>
    <n v="0"/>
    <n v="229636.44"/>
    <s v="40%"/>
    <n v="0.6"/>
    <d v="2012-06-15T00:00:00"/>
    <d v="2012-06-15T00:00:00"/>
    <d v="2012-06-15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827.2739999999999"/>
    <n v="3827.2739999999999"/>
    <n v="3827.2739999999999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8182.2"/>
  </r>
  <r>
    <n v="20"/>
    <s v="PTA NORTE "/>
    <s v="020301"/>
    <n v="2"/>
    <n v="3"/>
    <n v="1"/>
    <s v="ESTRELLA VIAJERA"/>
    <m/>
    <s v="EN OBRA"/>
    <n v="83.346000000000004"/>
    <m/>
    <s v="MARINE"/>
    <x v="0"/>
    <n v="1147714.8"/>
    <n v="59"/>
    <d v="2012-11-23T00:00:00"/>
    <s v="2DA-NOV"/>
    <n v="0.1"/>
    <s v="NO LIBERADO"/>
    <s v="BANCOMER"/>
    <m/>
    <n v="573857.4"/>
    <n v="229542.96000000002"/>
    <n v="344314.44"/>
    <n v="0"/>
    <n v="229542.96000000002"/>
    <s v="40%"/>
    <n v="0.6"/>
    <d v="2012-06-01T00:00:00"/>
    <d v="2012-06-01T00:00:00"/>
    <d v="2012-06-01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825.7160000000003"/>
    <n v="3825.7160000000003"/>
    <n v="3825.7160000000003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7714.8"/>
  </r>
  <r>
    <n v="21"/>
    <s v="PTA NORTE "/>
    <s v="020302"/>
    <n v="2"/>
    <n v="3"/>
    <n v="2"/>
    <s v="ESTRELLA VIAJERA"/>
    <m/>
    <s v="EN OBRA"/>
    <n v="80"/>
    <m/>
    <s v="AKUA"/>
    <x v="0"/>
    <n v="1126000"/>
    <n v="60"/>
    <d v="2012-11-23T00:00:00"/>
    <s v="2DA-NOV"/>
    <n v="0.1"/>
    <s v="NO LIBERADO"/>
    <s v="BANCOMER"/>
    <m/>
    <n v="563000"/>
    <n v="225200"/>
    <n v="337800"/>
    <n v="0"/>
    <n v="225200"/>
    <s v="40%"/>
    <n v="0.6"/>
    <d v="2012-06-07T00:00:00"/>
    <d v="2012-06-07T00:00:00"/>
    <d v="2012-06-0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2"/>
    <s v="PTA NORTE "/>
    <s v="020303"/>
    <n v="2"/>
    <n v="3"/>
    <n v="3"/>
    <s v="ESTRELLA VIAJERA"/>
    <m/>
    <s v="EN OBRA"/>
    <n v="80"/>
    <m/>
    <s v="AKUA"/>
    <x v="0"/>
    <n v="1126000"/>
    <n v="61"/>
    <d v="2012-11-23T00:00:00"/>
    <s v="2DA-NOV"/>
    <n v="0.1"/>
    <s v="NO LIBERADO"/>
    <s v="BANCOMER"/>
    <m/>
    <n v="563000"/>
    <n v="225200"/>
    <n v="337800"/>
    <n v="0"/>
    <n v="225200"/>
    <s v="40%"/>
    <n v="0.6"/>
    <d v="2012-06-10T00:00:00"/>
    <d v="2012-06-10T00:00:00"/>
    <d v="2012-06-10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3"/>
    <s v="PTA NORTE "/>
    <s v="020304"/>
    <n v="2"/>
    <n v="3"/>
    <n v="4"/>
    <s v="ESTRELLA VIAJERA"/>
    <m/>
    <s v="EN OBRA"/>
    <n v="80"/>
    <m/>
    <s v="MARINE"/>
    <x v="0"/>
    <n v="1135000"/>
    <n v="62"/>
    <d v="2012-11-23T00:00:00"/>
    <s v="2DA-NOV"/>
    <n v="0.1"/>
    <s v="NO LIBERADO"/>
    <s v="BANCOMER"/>
    <m/>
    <n v="567500"/>
    <n v="227000"/>
    <n v="340500"/>
    <n v="0"/>
    <n v="227000"/>
    <s v="40%"/>
    <n v="0.6"/>
    <d v="2012-06-09T00:00:00"/>
    <d v="2012-06-09T00:00:00"/>
    <d v="2012-06-09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24"/>
    <s v="PTA NORTE "/>
    <s v="020305"/>
    <n v="2"/>
    <n v="3"/>
    <n v="5"/>
    <s v="ESTRELLA VIAJERA"/>
    <m/>
    <s v="EN OBRA"/>
    <n v="80"/>
    <m/>
    <s v="AKUA"/>
    <x v="0"/>
    <n v="1126000"/>
    <n v="63"/>
    <d v="2012-11-15T00:00:00"/>
    <s v="2DA-NOV"/>
    <n v="0"/>
    <s v="NO LIBERADO"/>
    <s v="BANCOMER"/>
    <m/>
    <n v="563000"/>
    <n v="225200"/>
    <n v="337800"/>
    <n v="0"/>
    <n v="225200"/>
    <s v="40%"/>
    <n v="0.6"/>
    <d v="2012-03-14T00:00:00"/>
    <d v="2012-03-14T00:00:00"/>
    <d v="2012-03-14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5"/>
    <s v="PTA NORTE "/>
    <s v="020306"/>
    <n v="2"/>
    <n v="3"/>
    <n v="6"/>
    <s v="ESTRELLA VIAJERA"/>
    <m/>
    <s v="EN OBRA"/>
    <n v="80"/>
    <m/>
    <s v="AKUA"/>
    <x v="0"/>
    <n v="1126000"/>
    <n v="64"/>
    <d v="2012-11-15T00:00:00"/>
    <s v="2DA-NOV"/>
    <n v="0"/>
    <s v="NO LIBERADO"/>
    <s v="BANCOMER"/>
    <m/>
    <n v="563000"/>
    <n v="112600"/>
    <n v="450400"/>
    <n v="0"/>
    <n v="112600"/>
    <s v="20%"/>
    <n v="0.8"/>
    <d v="2012-07-16T00:00:00"/>
    <d v="2012-07-16T00:00:00"/>
    <d v="2012-07-16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6"/>
    <s v="PTA NORTE "/>
    <s v="020307"/>
    <n v="2"/>
    <n v="3"/>
    <n v="7"/>
    <s v="ESTRELLA VIAJERA"/>
    <m/>
    <s v="EN OBRA"/>
    <n v="80"/>
    <m/>
    <s v="MARINE"/>
    <x v="0"/>
    <n v="1135000"/>
    <n v="65"/>
    <d v="2012-11-15T00:00:00"/>
    <s v="2DA-NOV"/>
    <n v="0"/>
    <s v="NO LIBERADO"/>
    <s v="BANCOMER"/>
    <m/>
    <n v="567500"/>
    <n v="113500"/>
    <n v="454000"/>
    <n v="0"/>
    <n v="113500"/>
    <s v="20%"/>
    <n v="0.8"/>
    <d v="2012-06-30T00:00:00"/>
    <d v="2012-06-30T00:00:00"/>
    <d v="2012-06-30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27"/>
    <s v="PTA NORTE "/>
    <s v="020308"/>
    <n v="2"/>
    <n v="3"/>
    <n v="8"/>
    <s v="TARRAGONA"/>
    <m/>
    <s v="EN OBRA"/>
    <n v="101.45"/>
    <m/>
    <s v="MARINE"/>
    <x v="0"/>
    <n v="1216510"/>
    <n v="66"/>
    <d v="2012-11-30T00:00:00"/>
    <s v="2DA-NOV"/>
    <n v="0"/>
    <s v="NO LIBERADO"/>
    <s v="BANCOMER"/>
    <m/>
    <n v="608255"/>
    <n v="121651"/>
    <n v="486604"/>
    <n v="0"/>
    <n v="121651"/>
    <s v="20%"/>
    <n v="0.8"/>
    <d v="2012-06-15T00:00:00"/>
    <d v="2012-06-15T00:00:00"/>
    <d v="2012-06-15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4055.0333333333333"/>
    <n v="4055.0333333333333"/>
    <n v="4055.0333333333333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16510"/>
  </r>
  <r>
    <n v="28"/>
    <s v="PTA NORTE "/>
    <s v="020309"/>
    <n v="2"/>
    <n v="3"/>
    <n v="9"/>
    <s v="TARRAGONA"/>
    <m/>
    <s v="EN OBRA"/>
    <n v="88.497"/>
    <m/>
    <s v="AKUA"/>
    <x v="0"/>
    <n v="1158288.6000000001"/>
    <n v="67"/>
    <d v="2012-11-30T00:00:00"/>
    <s v="2DA-NOV"/>
    <n v="0"/>
    <s v="NO LIBERADO"/>
    <s v="BANCOMER"/>
    <m/>
    <n v="579144.30000000005"/>
    <n v="115828.86000000002"/>
    <n v="463315.44000000006"/>
    <n v="0"/>
    <n v="115828.86000000002"/>
    <s v="20%"/>
    <n v="0.8"/>
    <d v="2012-06-01T00:00:00"/>
    <d v="2012-06-01T00:00:00"/>
    <d v="2012-06-01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860.962"/>
    <n v="3860.962"/>
    <n v="3860.962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58288.6000000001"/>
  </r>
  <r>
    <n v="29"/>
    <s v="PTA NORTE "/>
    <s v="020310"/>
    <n v="2"/>
    <n v="3"/>
    <n v="10"/>
    <s v="TARRAGONA"/>
    <m/>
    <s v="EN OBRA"/>
    <n v="92.209000000000003"/>
    <m/>
    <s v="AKUA"/>
    <x v="0"/>
    <n v="1172394.2"/>
    <n v="68"/>
    <d v="2012-11-30T00:00:00"/>
    <s v="2DA-NOV"/>
    <n v="0"/>
    <s v="NO LIBERADO"/>
    <s v="BANCOMER"/>
    <m/>
    <n v="586197.1"/>
    <n v="117239.42"/>
    <n v="468957.68"/>
    <n v="0"/>
    <n v="117239.42"/>
    <s v="20%"/>
    <n v="0.8"/>
    <d v="2012-06-07T00:00:00"/>
    <d v="2012-06-07T00:00:00"/>
    <d v="2012-06-0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907.9806666666664"/>
    <n v="3907.9806666666664"/>
    <n v="3907.9806666666664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72394.2"/>
  </r>
  <r>
    <n v="30"/>
    <s v="PTA NORTE "/>
    <s v="020311"/>
    <n v="2"/>
    <n v="3"/>
    <n v="11"/>
    <s v="ESTRELLA VIAJERA"/>
    <m/>
    <s v="EN OBRA"/>
    <n v="80"/>
    <m/>
    <s v="AKUA"/>
    <x v="0"/>
    <n v="1126000"/>
    <n v="69"/>
    <d v="2012-11-30T00:00:00"/>
    <s v="2DA-NOV"/>
    <n v="0"/>
    <s v="NO LIBERADO"/>
    <s v="BANCOMER"/>
    <m/>
    <n v="563000"/>
    <n v="112600"/>
    <n v="450400"/>
    <n v="0"/>
    <n v="112600"/>
    <s v="20%"/>
    <n v="0.8"/>
    <d v="2012-06-10T00:00:00"/>
    <d v="2012-06-10T00:00:00"/>
    <d v="2012-06-10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31"/>
    <s v="PTA NORTE "/>
    <s v="020312"/>
    <n v="2"/>
    <n v="3"/>
    <n v="12"/>
    <s v="ESTRELLA VIAJERA"/>
    <m/>
    <s v="EN OBRA"/>
    <n v="80"/>
    <m/>
    <s v="MARINE"/>
    <x v="0"/>
    <n v="1135000"/>
    <n v="70"/>
    <d v="2012-11-30T00:00:00"/>
    <s v="2DA-NOV"/>
    <n v="0"/>
    <s v="NO LIBERADO"/>
    <s v="BANCOMER"/>
    <m/>
    <n v="567500"/>
    <n v="113500"/>
    <n v="454000"/>
    <n v="0"/>
    <n v="113500"/>
    <s v="20%"/>
    <n v="0.8"/>
    <d v="2012-06-09T00:00:00"/>
    <d v="2012-06-09T00:00:00"/>
    <d v="2012-06-09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32"/>
    <s v="PTA NORTE "/>
    <s v="020313"/>
    <n v="2"/>
    <n v="3"/>
    <n v="13"/>
    <s v="ESTRELLA VIAJERA"/>
    <m/>
    <s v="EN OBRA"/>
    <n v="80"/>
    <m/>
    <s v="AKUA"/>
    <x v="0"/>
    <n v="1126000"/>
    <n v="71"/>
    <d v="2012-11-30T00:00:00"/>
    <s v="2DA-NOV"/>
    <n v="0"/>
    <s v="NO LIBERADO"/>
    <s v="BANCOMER"/>
    <m/>
    <n v="563000"/>
    <n v="112600"/>
    <n v="450400"/>
    <n v="0"/>
    <n v="112600"/>
    <s v="20%"/>
    <n v="0.8"/>
    <d v="2012-05-20T00:00:00"/>
    <d v="2012-05-20T00:00:00"/>
    <d v="2012-05-20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33"/>
    <s v="PTA NORTE "/>
    <s v="020314"/>
    <n v="2"/>
    <n v="3"/>
    <n v="14"/>
    <s v="ESTRELLA VIAJERA"/>
    <m/>
    <s v="EN OBRA"/>
    <n v="80"/>
    <m/>
    <s v="AKUA"/>
    <x v="0"/>
    <n v="1126000"/>
    <n v="72"/>
    <d v="2012-11-30T00:00:00"/>
    <s v="2DA-NOV"/>
    <n v="0"/>
    <s v="NO LIBERADO"/>
    <s v="BANCOMER"/>
    <m/>
    <n v="563000"/>
    <n v="112600"/>
    <n v="450400"/>
    <n v="0"/>
    <n v="112600"/>
    <s v="20%"/>
    <n v="0.8"/>
    <d v="2012-03-14T00:00:00"/>
    <d v="2012-03-14T00:00:00"/>
    <d v="2012-03-14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34"/>
    <s v="PTA NORTE "/>
    <s v="020315"/>
    <n v="2"/>
    <n v="3"/>
    <n v="15"/>
    <s v="ESTRELLA VIAJERA"/>
    <m/>
    <s v="EN OBRA"/>
    <n v="83.161000000000001"/>
    <m/>
    <s v="MARINE"/>
    <x v="0"/>
    <n v="1147011.8"/>
    <n v="73"/>
    <d v="2012-11-30T00:00:00"/>
    <s v="2DA-NOV"/>
    <n v="0"/>
    <s v="NO LIBERADO"/>
    <s v="BANCOMER"/>
    <m/>
    <n v="573505.9"/>
    <n v="114701.18000000001"/>
    <n v="458804.72000000003"/>
    <n v="0"/>
    <n v="114701.18000000001"/>
    <s v="20%"/>
    <n v="0.8"/>
    <d v="2012-07-16T00:00:00"/>
    <d v="2012-07-16T00:00:00"/>
    <d v="2012-07-16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823.3726666666666"/>
    <n v="3823.3726666666666"/>
    <n v="3823.3726666666666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7011.8"/>
  </r>
  <r>
    <n v="35"/>
    <s v="PTA NORTE "/>
    <s v="020401"/>
    <n v="2"/>
    <n v="4"/>
    <n v="1"/>
    <s v="ESTRELLA MARINA"/>
    <m/>
    <s v="EN OBRA"/>
    <n v="83.037999999999997"/>
    <m/>
    <s v="AKUA"/>
    <x v="0"/>
    <n v="1137544.3999999999"/>
    <n v="74"/>
    <d v="2012-11-30T00:00:00"/>
    <s v="2DA-NOV"/>
    <n v="0"/>
    <s v="NO LIBERADO"/>
    <s v="BANCOMER"/>
    <m/>
    <n v="568772.19999999995"/>
    <n v="113754.44"/>
    <n v="455017.75999999995"/>
    <n v="0"/>
    <n v="113754.44"/>
    <s v="20%"/>
    <n v="0.8"/>
    <d v="2012-06-30T00:00:00"/>
    <d v="2012-06-30T00:00:00"/>
    <d v="2012-06-30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91.8146666666667"/>
    <n v="3791.8146666666667"/>
    <n v="3791.8146666666667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7544.3999999999"/>
  </r>
  <r>
    <n v="36"/>
    <s v="PTA NORTE "/>
    <s v="020402"/>
    <n v="2"/>
    <n v="4"/>
    <n v="2"/>
    <s v="ESTRELLA MARINA"/>
    <m/>
    <s v="EN OBRA"/>
    <n v="80"/>
    <m/>
    <s v="AKUA"/>
    <x v="0"/>
    <n v="1126000"/>
    <n v="75"/>
    <d v="2012-11-30T00:00:00"/>
    <s v="2DA-NOV"/>
    <n v="0"/>
    <s v="NO LIBERADO"/>
    <s v="BANCOMER"/>
    <m/>
    <n v="563000"/>
    <n v="444770"/>
    <n v="118230"/>
    <n v="0"/>
    <n v="444770"/>
    <s v="80%"/>
    <n v="0.19999999999999996"/>
    <m/>
    <m/>
    <m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ND"/>
    <s v="ND"/>
    <s v="ND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37"/>
    <s v="PTA NORTE "/>
    <s v="020403"/>
    <n v="2"/>
    <n v="4"/>
    <n v="3"/>
    <s v="ESTRELLA MARINA"/>
    <m/>
    <s v="EN OBRA"/>
    <n v="80"/>
    <m/>
    <s v="MARINE"/>
    <x v="0"/>
    <n v="1135000"/>
    <n v="76"/>
    <d v="2012-11-30T00:00:00"/>
    <s v="2DA-NOV"/>
    <n v="0"/>
    <s v="NO LIBERADO"/>
    <s v="BANCOMER"/>
    <m/>
    <n v="567500"/>
    <n v="448325"/>
    <n v="119175"/>
    <n v="0"/>
    <n v="448325"/>
    <s v="80%"/>
    <n v="0.19999999999999996"/>
    <m/>
    <m/>
    <m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ND"/>
    <s v="ND"/>
    <s v="ND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38"/>
    <s v="PTA NORTE "/>
    <s v="020404"/>
    <n v="2"/>
    <n v="4"/>
    <n v="4"/>
    <s v="ESTRELLA MARINA"/>
    <m/>
    <s v="EN OBRA"/>
    <n v="80"/>
    <m/>
    <s v="AKUA"/>
    <x v="0"/>
    <n v="1126000"/>
    <n v="77"/>
    <d v="2012-11-30T00:00:00"/>
    <s v="2DA-NOV"/>
    <n v="0"/>
    <s v="NO LIBERADO"/>
    <s v="BANCOMER"/>
    <m/>
    <n v="563000"/>
    <n v="444770"/>
    <n v="118230"/>
    <n v="0"/>
    <n v="444770"/>
    <s v="80%"/>
    <n v="0.19999999999999996"/>
    <m/>
    <m/>
    <m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ND"/>
    <s v="ND"/>
    <s v="ND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39"/>
    <s v="PTA NORTE "/>
    <s v="020405"/>
    <n v="2"/>
    <n v="4"/>
    <n v="5"/>
    <s v="ESTRELLA MARINA"/>
    <m/>
    <s v="EN OBRA"/>
    <n v="80"/>
    <m/>
    <s v="AKUA"/>
    <x v="0"/>
    <n v="1126000"/>
    <n v="78"/>
    <d v="2012-11-30T00:00:00"/>
    <s v="2DA-NOV"/>
    <n v="0"/>
    <s v="NO LIBERADO"/>
    <s v="BANCOMER"/>
    <m/>
    <n v="563000"/>
    <n v="444770"/>
    <n v="118230"/>
    <n v="0"/>
    <n v="444770"/>
    <s v="80%"/>
    <n v="0.19999999999999996"/>
    <m/>
    <m/>
    <m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ND"/>
    <s v="ND"/>
    <s v="ND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40"/>
    <s v="PTA NORTE "/>
    <s v="020406"/>
    <n v="2"/>
    <n v="4"/>
    <n v="6"/>
    <s v="ESTRELLA MARINA"/>
    <m/>
    <s v="EN OBRA"/>
    <n v="80"/>
    <m/>
    <s v="MARINE"/>
    <x v="0"/>
    <n v="1135000"/>
    <n v="79"/>
    <d v="2012-11-30T00:00:00"/>
    <s v="2DA-NOV"/>
    <n v="0"/>
    <s v="NO LIBERADO"/>
    <s v="BANCOMER"/>
    <m/>
    <n v="567500"/>
    <n v="448325"/>
    <n v="119175"/>
    <n v="0"/>
    <n v="448325"/>
    <s v="80%"/>
    <n v="0.19999999999999996"/>
    <m/>
    <m/>
    <m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ND"/>
    <s v="ND"/>
    <s v="ND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41"/>
    <s v="PTA NORTE "/>
    <s v="020407"/>
    <n v="2"/>
    <n v="4"/>
    <n v="7"/>
    <s v="ESTRELLA MARINA"/>
    <m/>
    <s v="EN OBRA"/>
    <n v="80"/>
    <m/>
    <s v="AKUA"/>
    <x v="0"/>
    <n v="1126000"/>
    <n v="80"/>
    <d v="2012-11-30T00:00:00"/>
    <s v="2DA-NOV"/>
    <n v="0"/>
    <s v="NO LIBERADO"/>
    <s v="BANCOMER"/>
    <m/>
    <n v="563000"/>
    <n v="444770"/>
    <n v="118230"/>
    <n v="0"/>
    <n v="444770"/>
    <s v="80%"/>
    <n v="0.19999999999999996"/>
    <m/>
    <m/>
    <m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ND"/>
    <s v="ND"/>
    <s v="ND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42"/>
    <s v="PTA NORTE "/>
    <s v="020408"/>
    <n v="2"/>
    <n v="4"/>
    <n v="8"/>
    <s v="ESTRELLA MARINA"/>
    <m/>
    <s v="EN OBRA"/>
    <n v="80"/>
    <m/>
    <s v="MARINE"/>
    <x v="0"/>
    <n v="1135000"/>
    <n v="81"/>
    <d v="2012-11-30T00:00:00"/>
    <s v="2DA-NOV"/>
    <n v="0"/>
    <s v="NO LIBERADO"/>
    <s v="BANCOMER"/>
    <m/>
    <n v="567500"/>
    <n v="448325"/>
    <n v="119175"/>
    <n v="0"/>
    <n v="448325"/>
    <s v="80%"/>
    <n v="0.19999999999999996"/>
    <m/>
    <m/>
    <m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ND"/>
    <s v="ND"/>
    <s v="ND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43"/>
    <s v="PTA NORTE "/>
    <s v="020409"/>
    <n v="2"/>
    <n v="4"/>
    <n v="9"/>
    <s v="ESTRELLA MARINA"/>
    <m/>
    <s v="EN OBRA"/>
    <n v="80"/>
    <m/>
    <s v="AKUA"/>
    <x v="0"/>
    <n v="1126000"/>
    <n v="82"/>
    <d v="2012-11-30T00:00:00"/>
    <s v="2DA-NOV"/>
    <n v="0"/>
    <s v="NO LIBERADO"/>
    <s v="BANCOMER"/>
    <m/>
    <n v="563000"/>
    <n v="444770"/>
    <n v="118230"/>
    <n v="0"/>
    <n v="444770"/>
    <s v="80%"/>
    <n v="0.19999999999999996"/>
    <m/>
    <m/>
    <m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ND"/>
    <s v="ND"/>
    <s v="ND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44"/>
    <s v="PTA NORTE "/>
    <s v="020410"/>
    <n v="2"/>
    <n v="4"/>
    <n v="10"/>
    <s v="ESTRELLA MARINA"/>
    <m/>
    <s v="EN OBRA"/>
    <n v="80"/>
    <m/>
    <s v="AKUA"/>
    <x v="0"/>
    <n v="1126000"/>
    <n v="83"/>
    <d v="2012-11-30T00:00:00"/>
    <s v="2DA-NOV"/>
    <n v="0"/>
    <s v="NO LIBERADO"/>
    <s v="BANCOMER"/>
    <m/>
    <n v="563000"/>
    <n v="444770"/>
    <n v="118230"/>
    <n v="0"/>
    <n v="444770"/>
    <s v="80%"/>
    <n v="0.19999999999999996"/>
    <m/>
    <m/>
    <m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ND"/>
    <s v="ND"/>
    <s v="ND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45"/>
    <s v="PTA NORTE "/>
    <s v="020411"/>
    <n v="2"/>
    <n v="4"/>
    <n v="11"/>
    <s v="ESTRELLA MARINA"/>
    <m/>
    <s v="EN OBRA"/>
    <n v="80"/>
    <m/>
    <s v="MARINE"/>
    <x v="0"/>
    <n v="1135000"/>
    <n v="84"/>
    <d v="2012-11-30T00:00:00"/>
    <s v="2DA-NOV"/>
    <n v="0"/>
    <s v="NO LIBERADO"/>
    <s v="BANCOMER"/>
    <m/>
    <n v="567500"/>
    <n v="448325"/>
    <n v="119175"/>
    <n v="0"/>
    <n v="448325"/>
    <s v="80%"/>
    <n v="0.19999999999999996"/>
    <d v="2012-06-07T00:00:00"/>
    <d v="2012-06-07T00:00:00"/>
    <d v="2012-06-0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46"/>
    <s v="PTA NORTE "/>
    <s v="020412"/>
    <n v="2"/>
    <n v="4"/>
    <n v="12"/>
    <s v="ESTRELLA MARINA"/>
    <m/>
    <s v="EN OBRA"/>
    <n v="80"/>
    <m/>
    <s v="AKUA"/>
    <x v="0"/>
    <n v="1126000"/>
    <n v="85"/>
    <d v="2012-11-30T00:00:00"/>
    <s v="2DA-NOV"/>
    <n v="0"/>
    <s v="NO LIBERADO"/>
    <s v="BANCOMER"/>
    <m/>
    <n v="563000"/>
    <n v="444770"/>
    <n v="118230"/>
    <n v="0"/>
    <n v="444770"/>
    <s v="80%"/>
    <n v="0.19999999999999996"/>
    <d v="2012-06-10T00:00:00"/>
    <d v="2012-06-10T00:00:00"/>
    <d v="2012-06-10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47"/>
    <s v="PTA NORTE "/>
    <s v="020413"/>
    <n v="2"/>
    <n v="4"/>
    <n v="13"/>
    <s v="ESTRELLA MARINA"/>
    <m/>
    <s v="EN OBRA"/>
    <n v="80"/>
    <m/>
    <s v="AKUA"/>
    <x v="0"/>
    <n v="1126000"/>
    <n v="86"/>
    <d v="2012-11-30T00:00:00"/>
    <s v="2DA-NOV"/>
    <n v="0"/>
    <s v="NO LIBERADO"/>
    <s v="BANCOMER"/>
    <m/>
    <n v="563000"/>
    <n v="444770"/>
    <n v="118230"/>
    <n v="0"/>
    <n v="444770"/>
    <s v="80%"/>
    <n v="0.19999999999999996"/>
    <d v="2012-06-09T00:00:00"/>
    <d v="2012-06-09T00:00:00"/>
    <d v="2012-06-09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48"/>
    <s v="PTA NORTE "/>
    <s v="020414"/>
    <n v="2"/>
    <n v="4"/>
    <n v="14"/>
    <s v="ESTRELLA MARINA"/>
    <m/>
    <s v="EN OBRA"/>
    <n v="80"/>
    <m/>
    <s v="MARINE"/>
    <x v="0"/>
    <n v="1135000"/>
    <n v="87"/>
    <d v="2012-11-30T00:00:00"/>
    <s v="2DA-NOV"/>
    <n v="0"/>
    <s v="NO LIBERADO"/>
    <s v="BANCOMER"/>
    <m/>
    <n v="567500"/>
    <n v="448325"/>
    <n v="119175"/>
    <n v="0"/>
    <n v="448325"/>
    <s v="80%"/>
    <n v="0.19999999999999996"/>
    <d v="2012-05-20T00:00:00"/>
    <d v="2012-05-20T00:00:00"/>
    <d v="2012-05-20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49"/>
    <s v="PTA NORTE "/>
    <s v="020415"/>
    <n v="2"/>
    <n v="4"/>
    <n v="15"/>
    <s v="ESTRELLA MARINA"/>
    <m/>
    <s v="EN OBRA"/>
    <n v="80"/>
    <m/>
    <s v="AKUA"/>
    <x v="0"/>
    <n v="1126000"/>
    <n v="88"/>
    <d v="2012-11-30T00:00:00"/>
    <s v="2DA-NOV"/>
    <n v="0"/>
    <s v="NO LIBERADO"/>
    <s v="BANCOMER"/>
    <m/>
    <n v="563000"/>
    <n v="28150"/>
    <n v="534850"/>
    <n v="0"/>
    <n v="28150"/>
    <s v="5%"/>
    <n v="0.95"/>
    <d v="2012-07-06T00:00:00"/>
    <d v="2012-07-06T00:00:00"/>
    <d v="2012-07-06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50"/>
    <s v="PTA NORTE "/>
    <s v="020416"/>
    <n v="2"/>
    <n v="4"/>
    <n v="16"/>
    <s v="ESTRELLA MARINA"/>
    <m/>
    <s v="EN OBRA"/>
    <n v="80"/>
    <m/>
    <s v="AKUA"/>
    <x v="0"/>
    <n v="1126000"/>
    <n v="89"/>
    <d v="2012-11-30T00:00:00"/>
    <s v="2DA-NOV"/>
    <n v="0"/>
    <s v="NO LIBERADO"/>
    <s v="BANCOMER"/>
    <m/>
    <n v="563000"/>
    <n v="28150"/>
    <n v="534850"/>
    <n v="0"/>
    <n v="28150"/>
    <s v="5%"/>
    <n v="0.95"/>
    <d v="2012-03-14T00:00:00"/>
    <d v="2012-03-14T00:00:00"/>
    <d v="2012-03-14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51"/>
    <s v="PTA NORTE "/>
    <s v="020417"/>
    <n v="2"/>
    <n v="4"/>
    <n v="17"/>
    <s v="ESTRELLA MARINA"/>
    <m/>
    <s v="EN OBRA"/>
    <n v="82.852999999999994"/>
    <m/>
    <s v="MARINE"/>
    <x v="0"/>
    <n v="1145841.3999999999"/>
    <n v="90"/>
    <d v="2012-11-30T00:00:00"/>
    <s v="2DA-NOV"/>
    <n v="0"/>
    <s v="NO LIBERADO"/>
    <s v="BANCOMER"/>
    <m/>
    <n v="572920.69999999995"/>
    <n v="28646.035"/>
    <n v="544274.66499999992"/>
    <n v="0"/>
    <n v="28646.035"/>
    <s v="5%"/>
    <n v="0.95"/>
    <d v="2012-07-16T00:00:00"/>
    <d v="2012-07-16T00:00:00"/>
    <d v="2012-07-16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819.471333333333"/>
    <n v="3819.471333333333"/>
    <n v="3819.471333333333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5841.3999999999"/>
  </r>
  <r>
    <n v="52"/>
    <s v="PTA NORTE "/>
    <s v="020501"/>
    <n v="2"/>
    <n v="5"/>
    <n v="1"/>
    <s v="ESTRELLA FUGAZ"/>
    <m/>
    <s v="EN OBRA"/>
    <n v="82.73"/>
    <m/>
    <s v="MARINE"/>
    <x v="0"/>
    <n v="1145374"/>
    <n v="91"/>
    <d v="2012-12-15T00:00:00"/>
    <s v="2DA-DIC"/>
    <n v="0"/>
    <s v="NO LIBERADO"/>
    <s v="BANCOMER"/>
    <m/>
    <n v="572687"/>
    <n v="28634.350000000002"/>
    <n v="544052.65"/>
    <n v="0"/>
    <n v="28634.350000000002"/>
    <s v="5%"/>
    <n v="0.95"/>
    <d v="2012-06-30T00:00:00"/>
    <d v="2012-06-30T00:00:00"/>
    <d v="2012-06-30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817.9133333333334"/>
    <n v="3817.9133333333334"/>
    <n v="3817.9133333333334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5374"/>
  </r>
  <r>
    <n v="53"/>
    <s v="PTA NORTE "/>
    <s v="020502"/>
    <n v="2"/>
    <n v="5"/>
    <n v="2"/>
    <s v="ESTRELLA FUGAZ"/>
    <m/>
    <s v="EN OBRA"/>
    <n v="80"/>
    <m/>
    <s v="AKUA"/>
    <x v="0"/>
    <n v="1126000"/>
    <n v="92"/>
    <d v="2012-12-15T00:00:00"/>
    <s v="2DA-DIC"/>
    <n v="0"/>
    <s v="NO LIBERADO"/>
    <s v="BANCOMER"/>
    <m/>
    <n v="563000"/>
    <n v="28150"/>
    <n v="534850"/>
    <n v="0"/>
    <n v="28150"/>
    <s v="5%"/>
    <n v="0.95"/>
    <d v="2012-06-15T00:00:00"/>
    <d v="2012-06-15T00:00:00"/>
    <d v="2012-06-15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54"/>
    <s v="PTA NORTE "/>
    <s v="020503"/>
    <n v="2"/>
    <n v="5"/>
    <n v="3"/>
    <s v="ESTRELLA FUGAZ"/>
    <m/>
    <s v="EN OBRA"/>
    <n v="80"/>
    <m/>
    <s v="AKUA"/>
    <x v="0"/>
    <n v="1126000"/>
    <n v="93"/>
    <d v="2012-12-15T00:00:00"/>
    <s v="2DA-DIC"/>
    <n v="0"/>
    <s v="NO LIBERADO"/>
    <s v="BANCOMER"/>
    <m/>
    <n v="563000"/>
    <n v="28150"/>
    <n v="534850"/>
    <n v="0"/>
    <n v="28150"/>
    <s v="5%"/>
    <n v="0.95"/>
    <d v="2012-06-01T00:00:00"/>
    <d v="2012-06-01T00:00:00"/>
    <d v="2012-06-01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55"/>
    <s v="PTA NORTE "/>
    <s v="020504"/>
    <n v="2"/>
    <n v="5"/>
    <n v="4"/>
    <s v="ESTRELLA FUGAZ"/>
    <m/>
    <s v="EN OBRA"/>
    <n v="80"/>
    <m/>
    <s v="MARINE"/>
    <x v="0"/>
    <n v="1135000"/>
    <n v="94"/>
    <d v="2012-12-15T00:00:00"/>
    <s v="2DA-DIC"/>
    <n v="0"/>
    <s v="NO LIBERADO"/>
    <s v="BANCOMER"/>
    <m/>
    <n v="567500"/>
    <n v="28375"/>
    <n v="539125"/>
    <n v="0"/>
    <n v="28375"/>
    <s v="5%"/>
    <n v="0.95"/>
    <d v="2012-06-07T00:00:00"/>
    <d v="2012-06-07T00:00:00"/>
    <d v="2012-06-0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56"/>
    <s v="PTA NORTE "/>
    <s v="020505"/>
    <n v="2"/>
    <n v="5"/>
    <n v="5"/>
    <s v="ESTRELLA FUGAZ"/>
    <m/>
    <s v="EN OBRA"/>
    <n v="80"/>
    <m/>
    <s v="AKUA"/>
    <x v="0"/>
    <n v="1126000"/>
    <n v="95"/>
    <d v="2012-12-15T00:00:00"/>
    <s v="2DA-DIC"/>
    <n v="0"/>
    <s v="NO LIBERADO"/>
    <s v="BANCOMER"/>
    <m/>
    <n v="563000"/>
    <n v="28150"/>
    <n v="534850"/>
    <n v="0"/>
    <n v="28150"/>
    <s v="5%"/>
    <n v="0.95"/>
    <d v="2012-06-10T00:00:00"/>
    <d v="2012-06-10T00:00:00"/>
    <d v="2012-06-10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57"/>
    <s v="PTA NORTE "/>
    <s v="020506"/>
    <n v="2"/>
    <n v="5"/>
    <n v="6"/>
    <s v="ESTRELLA FUGAZ"/>
    <m/>
    <s v="EN OBRA"/>
    <n v="80"/>
    <m/>
    <s v="AKUA"/>
    <x v="0"/>
    <n v="1126000"/>
    <n v="96"/>
    <d v="2012-12-15T00:00:00"/>
    <s v="2DA-DIC"/>
    <n v="0"/>
    <s v="NO LIBERADO"/>
    <s v="BANCOMER"/>
    <m/>
    <n v="563000"/>
    <n v="28150"/>
    <n v="534850"/>
    <n v="0"/>
    <n v="28150"/>
    <s v="5%"/>
    <n v="0.95"/>
    <d v="2012-06-09T00:00:00"/>
    <d v="2012-06-09T00:00:00"/>
    <d v="2012-06-09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58"/>
    <s v="PTA NORTE "/>
    <s v="020507"/>
    <n v="2"/>
    <n v="5"/>
    <n v="7"/>
    <s v="ESTRELLA FUGAZ"/>
    <m/>
    <s v="EN OBRA"/>
    <n v="80"/>
    <m/>
    <s v="MARINE"/>
    <x v="0"/>
    <n v="1135000"/>
    <n v="97"/>
    <d v="2012-12-15T00:00:00"/>
    <s v="2DA-DIC"/>
    <n v="0"/>
    <s v="NO LIBERADO"/>
    <s v="BANCOMER"/>
    <m/>
    <n v="567500"/>
    <n v="28375"/>
    <n v="539125"/>
    <n v="0"/>
    <n v="28375"/>
    <s v="5%"/>
    <n v="0.95"/>
    <d v="2012-05-20T00:00:00"/>
    <d v="2012-05-20T00:00:00"/>
    <d v="2012-05-20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59"/>
    <s v="PTA NORTE "/>
    <s v="020508"/>
    <n v="2"/>
    <n v="5"/>
    <n v="8"/>
    <s v="ESTRELLA FUGAZ"/>
    <m/>
    <s v="EN OBRA"/>
    <n v="80"/>
    <m/>
    <s v="AKUA"/>
    <x v="0"/>
    <n v="1126000"/>
    <n v="98"/>
    <d v="2012-12-15T00:00:00"/>
    <s v="2DA-DIC"/>
    <n v="0"/>
    <s v="NO LIBERADO"/>
    <s v="BANCOMER"/>
    <m/>
    <n v="563000"/>
    <n v="28150"/>
    <n v="534850"/>
    <n v="0"/>
    <n v="28150"/>
    <s v="5%"/>
    <n v="0.95"/>
    <d v="2012-07-06T00:00:00"/>
    <d v="2012-07-06T00:00:00"/>
    <d v="2012-07-06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60"/>
    <s v="PTA NORTE "/>
    <s v="020509"/>
    <n v="2"/>
    <n v="5"/>
    <n v="9"/>
    <s v="ESTRELLA FUGAZ"/>
    <m/>
    <s v="EN OBRA"/>
    <n v="80"/>
    <m/>
    <s v="AKUA"/>
    <x v="0"/>
    <n v="1126000"/>
    <n v="99"/>
    <d v="2012-12-15T00:00:00"/>
    <s v="2DA-DIC"/>
    <n v="0"/>
    <s v="NO LIBERADO"/>
    <s v="BANCOMER"/>
    <m/>
    <n v="563000"/>
    <n v="28150"/>
    <n v="534850"/>
    <n v="0"/>
    <n v="28150"/>
    <s v="5%"/>
    <n v="0.95"/>
    <d v="2012-03-14T00:00:00"/>
    <d v="2012-03-14T00:00:00"/>
    <d v="2012-03-14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61"/>
    <s v="PTA NORTE "/>
    <s v="020510"/>
    <n v="2"/>
    <n v="5"/>
    <n v="10"/>
    <s v="ESTRELLA FUGAZ"/>
    <m/>
    <s v="EN OBRA"/>
    <n v="94.759"/>
    <m/>
    <s v="MARINE"/>
    <x v="0"/>
    <n v="1191084.2"/>
    <n v="100"/>
    <d v="2012-12-15T00:00:00"/>
    <s v="2DA-DIC"/>
    <n v="0"/>
    <s v="NO LIBERADO"/>
    <s v="BANCOMER"/>
    <m/>
    <n v="595542.1"/>
    <n v="285860.20799999998"/>
    <n v="309681.89199999999"/>
    <n v="0"/>
    <n v="285860.20799999998"/>
    <s v="50%"/>
    <n v="0.5"/>
    <d v="2012-07-16T00:00:00"/>
    <d v="2012-07-16T00:00:00"/>
    <d v="2012-07-16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970.280666666667"/>
    <n v="3970.280666666667"/>
    <n v="3970.280666666667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91084.2"/>
  </r>
  <r>
    <n v="62"/>
    <s v="PTA NORTE "/>
    <s v="020511"/>
    <n v="2"/>
    <n v="5"/>
    <n v="11"/>
    <s v="ESTRELLA FUGAZ"/>
    <m/>
    <s v="EN OBRA"/>
    <n v="80"/>
    <m/>
    <s v="MARINE"/>
    <x v="0"/>
    <n v="1135000"/>
    <n v="101"/>
    <d v="2012-12-15T00:00:00"/>
    <s v="2DA-DIC"/>
    <n v="0"/>
    <s v="NO LIBERADO"/>
    <s v="BANCOMER"/>
    <m/>
    <n v="567500"/>
    <n v="272400"/>
    <n v="295100"/>
    <n v="0"/>
    <n v="272400"/>
    <s v="50%"/>
    <n v="0.5"/>
    <d v="2012-06-30T00:00:00"/>
    <d v="2012-06-30T00:00:00"/>
    <d v="2012-06-30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63"/>
    <s v="PTA NORTE "/>
    <s v="020512"/>
    <n v="2"/>
    <n v="5"/>
    <n v="12"/>
    <s v="ESTRELLA FUGAZ"/>
    <m/>
    <s v="EN OBRA"/>
    <n v="80"/>
    <m/>
    <s v="AKUA"/>
    <x v="0"/>
    <n v="1126000"/>
    <n v="102"/>
    <d v="2012-12-15T00:00:00"/>
    <s v="2DA-DIC"/>
    <n v="0"/>
    <s v="NO LIBERADO"/>
    <s v="BANCOMER"/>
    <m/>
    <n v="563000"/>
    <n v="270240"/>
    <n v="292760"/>
    <n v="0"/>
    <n v="270240"/>
    <s v="50%"/>
    <n v="0.5"/>
    <d v="2012-06-15T00:00:00"/>
    <d v="2012-06-15T00:00:00"/>
    <d v="2012-06-15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64"/>
    <s v="PTA NORTE "/>
    <s v="020513"/>
    <n v="2"/>
    <n v="5"/>
    <n v="13"/>
    <s v="ESTRELLA FUGAZ"/>
    <m/>
    <s v="EN OBRA"/>
    <n v="80"/>
    <m/>
    <s v="AKUA"/>
    <x v="0"/>
    <n v="1126000"/>
    <n v="103"/>
    <d v="2012-12-15T00:00:00"/>
    <s v="2DA-DIC"/>
    <n v="0"/>
    <s v="NO LIBERADO"/>
    <s v="BANCOMER"/>
    <m/>
    <n v="563000"/>
    <n v="270240"/>
    <n v="292760"/>
    <n v="0"/>
    <n v="270240"/>
    <s v="50%"/>
    <n v="0.5"/>
    <d v="2012-06-01T00:00:00"/>
    <d v="2012-06-01T00:00:00"/>
    <d v="2012-06-01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65"/>
    <s v="PTA NORTE "/>
    <s v="020514"/>
    <n v="2"/>
    <n v="5"/>
    <n v="14"/>
    <s v="ESTRELLA FUGAZ"/>
    <m/>
    <s v="EN OBRA"/>
    <n v="80"/>
    <m/>
    <s v="MARINE"/>
    <x v="0"/>
    <n v="1135000"/>
    <n v="104"/>
    <d v="2012-12-15T00:00:00"/>
    <s v="2DA-DIC"/>
    <n v="0"/>
    <s v="NO LIBERADO"/>
    <s v="BANCOMER"/>
    <m/>
    <n v="567500"/>
    <n v="272400"/>
    <n v="295100"/>
    <n v="0"/>
    <n v="272400"/>
    <s v="50%"/>
    <n v="0.5"/>
    <d v="2012-06-07T00:00:00"/>
    <d v="2012-06-07T00:00:00"/>
    <d v="2012-06-0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66"/>
    <s v="PTA NORTE "/>
    <s v="020515"/>
    <n v="2"/>
    <n v="5"/>
    <n v="15"/>
    <s v="ESTRELLA FUGAZ"/>
    <m/>
    <s v="EN OBRA"/>
    <n v="80"/>
    <m/>
    <s v="AKUA"/>
    <x v="0"/>
    <n v="1126000"/>
    <n v="105"/>
    <d v="2012-12-15T00:00:00"/>
    <s v="2DA-DIC"/>
    <n v="0"/>
    <s v="NO LIBERADO"/>
    <s v="BANCOMER"/>
    <m/>
    <n v="563000"/>
    <n v="270240"/>
    <n v="292760"/>
    <n v="0"/>
    <n v="270240"/>
    <s v="50%"/>
    <n v="0.5"/>
    <d v="2012-06-10T00:00:00"/>
    <d v="2012-06-10T00:00:00"/>
    <d v="2012-06-10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67"/>
    <s v="PTA NORTE "/>
    <s v="020516"/>
    <n v="2"/>
    <n v="5"/>
    <n v="16"/>
    <s v="ESTRELLA FUGAZ"/>
    <m/>
    <s v="EN OBRA"/>
    <n v="80"/>
    <m/>
    <s v="AKUA"/>
    <x v="0"/>
    <n v="1126000"/>
    <n v="106"/>
    <d v="2012-12-15T00:00:00"/>
    <s v="2DA-DIC"/>
    <n v="0"/>
    <s v="NO LIBERADO"/>
    <s v="BANCOMER"/>
    <m/>
    <n v="563000"/>
    <n v="270240"/>
    <n v="292760"/>
    <n v="0"/>
    <n v="270240"/>
    <s v="50%"/>
    <n v="0.5"/>
    <d v="2012-06-09T00:00:00"/>
    <d v="2012-06-09T00:00:00"/>
    <d v="2012-06-09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68"/>
    <s v="PTA NORTE "/>
    <s v="020517"/>
    <n v="2"/>
    <n v="5"/>
    <n v="17"/>
    <s v="ESTRELLA FUGAZ"/>
    <m/>
    <s v="EN OBRA"/>
    <n v="80"/>
    <m/>
    <s v="MARINE"/>
    <x v="0"/>
    <n v="1135000"/>
    <n v="107"/>
    <d v="2012-12-15T00:00:00"/>
    <s v="2DA-DIC"/>
    <n v="0"/>
    <s v="NO LIBERADO"/>
    <s v="BANCOMER"/>
    <m/>
    <n v="567500"/>
    <n v="272400"/>
    <n v="295100"/>
    <n v="0"/>
    <n v="272400"/>
    <s v="50%"/>
    <n v="0.5"/>
    <d v="2012-03-14T00:00:00"/>
    <d v="2012-03-14T00:00:00"/>
    <d v="2012-03-14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69"/>
    <s v="PTA NORTE "/>
    <s v="020518"/>
    <n v="2"/>
    <n v="5"/>
    <n v="18"/>
    <s v="ESTRELLA FUGAZ"/>
    <m/>
    <s v="EN OBRA"/>
    <n v="80"/>
    <m/>
    <s v="AKUA"/>
    <x v="0"/>
    <n v="1126000"/>
    <n v="108"/>
    <d v="2012-12-15T00:00:00"/>
    <s v="2DA-DIC"/>
    <n v="0"/>
    <s v="NO LIBERADO"/>
    <s v="BANCOMER"/>
    <m/>
    <n v="563000"/>
    <n v="270240"/>
    <n v="292760"/>
    <n v="0"/>
    <n v="270240"/>
    <s v="50%"/>
    <n v="0.5"/>
    <d v="2012-07-16T00:00:00"/>
    <d v="2012-07-16T00:00:00"/>
    <d v="2012-07-16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70"/>
    <s v="PTA NORTE "/>
    <s v="020519"/>
    <n v="2"/>
    <n v="5"/>
    <n v="19"/>
    <s v="ESTRELLA FUGAZ"/>
    <m/>
    <s v="EN OBRA"/>
    <n v="80"/>
    <m/>
    <s v="AKUA"/>
    <x v="0"/>
    <n v="1126000"/>
    <n v="109"/>
    <d v="2012-12-15T00:00:00"/>
    <s v="2DA-DIC"/>
    <n v="0"/>
    <s v="NO LIBERADO"/>
    <s v="BANCOMER"/>
    <m/>
    <n v="563000"/>
    <n v="563000"/>
    <n v="0"/>
    <n v="0"/>
    <n v="563000"/>
    <s v="100%"/>
    <n v="0"/>
    <d v="2012-06-30T00:00:00"/>
    <d v="2012-06-30T00:00:00"/>
    <d v="2012-06-30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71"/>
    <s v="PTA NORTE "/>
    <s v="020520"/>
    <n v="2"/>
    <n v="5"/>
    <n v="20"/>
    <s v="ESTRELLA FUGAZ"/>
    <m/>
    <s v="EN OBRA"/>
    <n v="82.545000000000002"/>
    <m/>
    <s v="MARINE"/>
    <x v="0"/>
    <n v="1144671"/>
    <n v="110"/>
    <d v="2012-12-15T00:00:00"/>
    <s v="2DA-DIC"/>
    <n v="0"/>
    <s v="NO LIBERADO"/>
    <s v="BANCOMER"/>
    <m/>
    <n v="572335.5"/>
    <n v="572335.5"/>
    <n v="0"/>
    <n v="0"/>
    <n v="572335.5"/>
    <s v="100%"/>
    <n v="0"/>
    <d v="2012-06-15T00:00:00"/>
    <d v="2012-06-15T00:00:00"/>
    <d v="2012-06-15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815.57"/>
    <n v="3815.57"/>
    <n v="3815.57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4671"/>
  </r>
  <r>
    <n v="72"/>
    <s v="PTA NORTE "/>
    <s v="020601"/>
    <n v="2"/>
    <n v="6"/>
    <n v="1"/>
    <s v="ESTRELLA POLAR"/>
    <m/>
    <s v="EN OBRA"/>
    <n v="82.421000000000006"/>
    <m/>
    <s v="MARINE"/>
    <x v="1"/>
    <n v="1144199.8"/>
    <n v="111"/>
    <d v="2012-09-30T00:00:00"/>
    <s v="2DA-SEP"/>
    <n v="0.1"/>
    <s v="NO LIBERADO"/>
    <s v="BANCOMER"/>
    <m/>
    <n v="572099.9"/>
    <n v="572099.9"/>
    <n v="0"/>
    <n v="0"/>
    <n v="572099.9"/>
    <s v="100%"/>
    <n v="0"/>
    <d v="2012-06-01T00:00:00"/>
    <d v="2012-06-01T00:00:00"/>
    <d v="2012-06-01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813.9993333333337"/>
    <n v="3813.9993333333337"/>
    <n v="3813.9993333333337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4199.8"/>
  </r>
  <r>
    <n v="73"/>
    <s v="PTA NORTE "/>
    <s v="020602"/>
    <n v="2"/>
    <n v="6"/>
    <n v="2"/>
    <s v="ESTRELLA POLAR"/>
    <m/>
    <s v="EN OBRA"/>
    <n v="80"/>
    <m/>
    <s v="AKUA"/>
    <x v="1"/>
    <n v="1126000"/>
    <n v="112"/>
    <d v="2012-09-30T00:00:00"/>
    <s v="2DA-SEP"/>
    <n v="0.1"/>
    <s v="NO LIBERADO"/>
    <s v="BANCOMER"/>
    <m/>
    <n v="563000"/>
    <n v="563000"/>
    <n v="0"/>
    <n v="0"/>
    <n v="563000"/>
    <s v="100%"/>
    <n v="0"/>
    <d v="2012-03-14T00:00:00"/>
    <d v="2012-03-14T00:00:00"/>
    <d v="2012-03-14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74"/>
    <s v="PTA NORTE "/>
    <s v="020603"/>
    <n v="2"/>
    <n v="6"/>
    <n v="3"/>
    <s v="ESTRELLA POLAR"/>
    <m/>
    <s v="EN OBRA"/>
    <n v="80"/>
    <m/>
    <s v="AKUA"/>
    <x v="1"/>
    <n v="1126000"/>
    <n v="113"/>
    <d v="2012-09-30T00:00:00"/>
    <s v="2DA-SEP"/>
    <n v="0.2"/>
    <s v="NO LIBERADO"/>
    <s v="BANCOMER"/>
    <m/>
    <n v="563000"/>
    <n v="563000"/>
    <n v="0"/>
    <n v="0"/>
    <n v="563000"/>
    <s v="100%"/>
    <n v="0"/>
    <d v="2012-07-16T00:00:00"/>
    <d v="2012-07-16T00:00:00"/>
    <d v="2012-07-16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75"/>
    <s v="PTA NORTE "/>
    <s v="020604"/>
    <n v="2"/>
    <n v="6"/>
    <n v="4"/>
    <s v="ESTRELLA POLAR"/>
    <m/>
    <s v="EN OBRA"/>
    <n v="80"/>
    <m/>
    <s v="MARINE"/>
    <x v="1"/>
    <n v="1135000"/>
    <n v="114"/>
    <d v="2012-09-30T00:00:00"/>
    <s v="2DA-SEP"/>
    <n v="0.2"/>
    <s v="NO LIBERADO"/>
    <s v="BANCOMER"/>
    <m/>
    <n v="567500"/>
    <n v="567500"/>
    <n v="0"/>
    <n v="0"/>
    <n v="567500"/>
    <s v="100%"/>
    <n v="0"/>
    <d v="2012-06-30T00:00:00"/>
    <d v="2012-06-30T00:00:00"/>
    <d v="2012-06-30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76"/>
    <s v="PTA NORTE "/>
    <s v="020605"/>
    <n v="2"/>
    <n v="6"/>
    <n v="5"/>
    <s v="ESTRELLA POLAR"/>
    <m/>
    <s v="EN OBRA"/>
    <n v="80"/>
    <m/>
    <s v="AKUA"/>
    <x v="1"/>
    <n v="1126000"/>
    <n v="115"/>
    <d v="2012-09-30T00:00:00"/>
    <s v="2DA-SEP"/>
    <n v="0.2"/>
    <s v="NO LIBERADO"/>
    <s v="BANCOMER"/>
    <m/>
    <n v="563000"/>
    <n v="563000"/>
    <n v="0"/>
    <n v="0"/>
    <n v="563000"/>
    <s v="100%"/>
    <n v="0"/>
    <d v="2012-06-15T00:00:00"/>
    <d v="2012-06-15T00:00:00"/>
    <d v="2012-06-15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77"/>
    <s v="PTA NORTE "/>
    <s v="020606"/>
    <n v="2"/>
    <n v="6"/>
    <n v="6"/>
    <s v="ESTRELLA POLAR"/>
    <m/>
    <s v="EN OBRA"/>
    <n v="80"/>
    <m/>
    <s v="AKUA"/>
    <x v="1"/>
    <n v="1126000"/>
    <n v="116"/>
    <d v="2012-09-30T00:00:00"/>
    <s v="2DA-SEP"/>
    <n v="0.2"/>
    <s v="NO LIBERADO"/>
    <s v="BANCOMER"/>
    <m/>
    <n v="563000"/>
    <n v="563000"/>
    <n v="0"/>
    <n v="0"/>
    <n v="563000"/>
    <s v="100%"/>
    <n v="0"/>
    <d v="2012-06-01T00:00:00"/>
    <d v="2012-06-01T00:00:00"/>
    <d v="2012-06-01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78"/>
    <s v="PTA NORTE "/>
    <s v="020607"/>
    <n v="2"/>
    <n v="6"/>
    <n v="7"/>
    <s v="ESTRELLA POLAR"/>
    <m/>
    <s v="EN OBRA"/>
    <n v="80"/>
    <m/>
    <s v="MARINE"/>
    <x v="1"/>
    <n v="1135000"/>
    <n v="117"/>
    <d v="2012-09-30T00:00:00"/>
    <s v="2DA-SEP"/>
    <n v="0.2"/>
    <s v="NO LIBERADO"/>
    <s v="BANCOMER"/>
    <m/>
    <n v="567500"/>
    <n v="567500"/>
    <n v="0"/>
    <n v="0"/>
    <n v="567500"/>
    <s v="100%"/>
    <n v="0"/>
    <d v="2012-06-07T00:00:00"/>
    <d v="2012-06-07T00:00:00"/>
    <d v="2012-06-0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79"/>
    <s v="PTA NORTE "/>
    <s v="020608"/>
    <n v="2"/>
    <n v="6"/>
    <n v="8"/>
    <s v="ESTRELLA POLAR"/>
    <m/>
    <s v="EN OBRA"/>
    <n v="80"/>
    <m/>
    <s v="AKUA"/>
    <x v="1"/>
    <n v="1126000"/>
    <n v="118"/>
    <d v="2012-09-30T00:00:00"/>
    <s v="2DA-SEP"/>
    <n v="0.2"/>
    <s v="NO LIBERADO"/>
    <s v="BANCOMER"/>
    <m/>
    <n v="563000"/>
    <n v="563000"/>
    <n v="0"/>
    <n v="0"/>
    <n v="563000"/>
    <s v="100%"/>
    <n v="0"/>
    <d v="2012-06-10T00:00:00"/>
    <d v="2012-06-10T00:00:00"/>
    <d v="2012-06-10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80"/>
    <s v="PTA NORTE "/>
    <s v="020609"/>
    <n v="2"/>
    <n v="6"/>
    <n v="9"/>
    <s v="TARRAGONA"/>
    <m/>
    <s v="EN OBRA"/>
    <n v="80.322999999999993"/>
    <m/>
    <s v="AKUA"/>
    <x v="1"/>
    <n v="1127227.3999999999"/>
    <n v="119"/>
    <d v="2012-09-30T00:00:00"/>
    <s v="2DA-SEP"/>
    <n v="0.2"/>
    <s v="NO LIBERADO"/>
    <s v="BANCOMER"/>
    <m/>
    <n v="563613.69999999995"/>
    <n v="563613.69999999995"/>
    <n v="0"/>
    <n v="0"/>
    <n v="563613.69999999995"/>
    <s v="100%"/>
    <n v="0"/>
    <d v="2012-06-09T00:00:00"/>
    <d v="2012-06-09T00:00:00"/>
    <d v="2012-06-09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7.4246666666663"/>
    <n v="3757.4246666666663"/>
    <n v="3757.4246666666663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7227.3999999999"/>
  </r>
  <r>
    <n v="81"/>
    <s v="PTA NORTE "/>
    <s v="020610"/>
    <n v="2"/>
    <n v="6"/>
    <n v="10"/>
    <s v="TARRAGONA"/>
    <m/>
    <s v="EN OBRA"/>
    <n v="84.034999999999997"/>
    <m/>
    <s v="AKUA"/>
    <x v="1"/>
    <n v="1141333"/>
    <n v="120"/>
    <d v="2012-09-30T00:00:00"/>
    <s v="2DA-SEP"/>
    <n v="0.2"/>
    <s v="NO LIBERADO"/>
    <s v="BANCOMER"/>
    <m/>
    <n v="570666.5"/>
    <n v="0"/>
    <n v="570666.5"/>
    <n v="0"/>
    <n v="0"/>
    <s v="5%"/>
    <n v="0.95"/>
    <d v="2012-05-20T00:00:00"/>
    <d v="2012-05-20T00:00:00"/>
    <d v="2012-05-20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804.4433333333332"/>
    <n v="3804.4433333333332"/>
    <n v="3804.4433333333332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1333"/>
  </r>
  <r>
    <n v="82"/>
    <s v="PTA NORTE "/>
    <s v="020611"/>
    <n v="2"/>
    <n v="6"/>
    <n v="11"/>
    <s v="TARRAGONA"/>
    <m/>
    <s v="EN OBRA"/>
    <n v="105.44199999999999"/>
    <m/>
    <s v="MARINE"/>
    <x v="1"/>
    <n v="1231679.6000000001"/>
    <n v="121"/>
    <d v="2012-09-30T00:00:00"/>
    <s v="2DA-SEP"/>
    <n v="0.2"/>
    <s v="NO LIBERADO"/>
    <s v="BANCOMER"/>
    <m/>
    <n v="615839.80000000005"/>
    <n v="0"/>
    <n v="615839.80000000005"/>
    <n v="0"/>
    <n v="0"/>
    <s v="5%"/>
    <n v="0.95"/>
    <d v="2012-07-06T00:00:00"/>
    <d v="2012-07-06T00:00:00"/>
    <d v="2012-07-06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4105.5986666666677"/>
    <n v="4105.5986666666677"/>
    <n v="4105.5986666666677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31679.6000000001"/>
  </r>
  <r>
    <n v="83"/>
    <s v="PTA NORTE "/>
    <s v="020612"/>
    <n v="2"/>
    <n v="6"/>
    <n v="12"/>
    <s v="ESTRELLA POLAR"/>
    <m/>
    <s v="EN OBRA"/>
    <n v="80"/>
    <m/>
    <s v="AKUA"/>
    <x v="1"/>
    <n v="1126000"/>
    <n v="122"/>
    <d v="2012-10-15T00:00:00"/>
    <s v="2DA-OCT"/>
    <n v="0.1"/>
    <s v="NO LIBERADO"/>
    <s v="BANCOMER"/>
    <m/>
    <n v="563000"/>
    <n v="0"/>
    <n v="563000"/>
    <n v="0"/>
    <n v="0"/>
    <s v="5%"/>
    <n v="0.95"/>
    <d v="2012-06-30T00:00:00"/>
    <d v="2012-06-30T00:00:00"/>
    <d v="2012-06-30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84"/>
    <s v="PTA NORTE "/>
    <s v="020613"/>
    <n v="2"/>
    <n v="6"/>
    <n v="13"/>
    <s v="ESTRELLA POLAR"/>
    <m/>
    <s v="EN OBRA"/>
    <n v="80"/>
    <m/>
    <s v="MARINE"/>
    <x v="1"/>
    <n v="1135000"/>
    <n v="123"/>
    <d v="2012-10-15T00:00:00"/>
    <s v="2DA-OCT"/>
    <n v="0.1"/>
    <s v="NO LIBERADO"/>
    <s v="BANCOMER"/>
    <m/>
    <n v="567500"/>
    <n v="0"/>
    <n v="567500"/>
    <n v="0"/>
    <n v="0"/>
    <s v="5%"/>
    <n v="0.95"/>
    <d v="2012-06-25T00:00:00"/>
    <d v="2012-06-25T00:00:00"/>
    <d v="2012-06-25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85"/>
    <s v="PTA NORTE "/>
    <s v="020614"/>
    <n v="2"/>
    <n v="6"/>
    <n v="14"/>
    <s v="ESTRELLA POLAR"/>
    <m/>
    <s v="EN OBRA"/>
    <n v="80"/>
    <m/>
    <s v="AKUA"/>
    <x v="1"/>
    <n v="1126000"/>
    <n v="124"/>
    <d v="2012-10-15T00:00:00"/>
    <s v="2DA-OCT"/>
    <n v="0.1"/>
    <s v="NO LIBERADO"/>
    <s v="BANCOMER"/>
    <m/>
    <n v="563000"/>
    <n v="0"/>
    <n v="563000"/>
    <n v="0"/>
    <n v="0"/>
    <s v="5%"/>
    <n v="0.95"/>
    <d v="2012-06-20T00:00:00"/>
    <d v="2012-06-20T00:00:00"/>
    <d v="2012-06-20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86"/>
    <s v="PTA NORTE "/>
    <s v="020615"/>
    <n v="2"/>
    <n v="6"/>
    <n v="15"/>
    <s v="ESTRELLA POLAR"/>
    <m/>
    <s v="EN OBRA"/>
    <n v="80"/>
    <m/>
    <s v="AKUA"/>
    <x v="1"/>
    <n v="1126000"/>
    <n v="125"/>
    <d v="2012-10-15T00:00:00"/>
    <s v="2DA-OCT"/>
    <n v="0.1"/>
    <s v="NO LIBERADO"/>
    <s v="BANCOMER"/>
    <m/>
    <n v="563000"/>
    <n v="0"/>
    <n v="563000"/>
    <n v="0"/>
    <n v="0"/>
    <s v="5%"/>
    <n v="0.95"/>
    <d v="2012-06-15T00:00:00"/>
    <d v="2012-06-15T00:00:00"/>
    <d v="2012-06-15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87"/>
    <s v="PTA NORTE "/>
    <s v="020606"/>
    <n v="2"/>
    <n v="6"/>
    <n v="6"/>
    <s v="ESTRELLA POLAR"/>
    <m/>
    <s v="EN OBRA"/>
    <n v="80"/>
    <m/>
    <s v="MARINE"/>
    <x v="1"/>
    <n v="1135000"/>
    <n v="126"/>
    <d v="2012-10-15T00:00:00"/>
    <s v="2DA-OCT"/>
    <n v="0.1"/>
    <s v="NO LIBERADO"/>
    <s v="BANCOMER"/>
    <m/>
    <n v="567500"/>
    <n v="0"/>
    <n v="567500"/>
    <n v="0"/>
    <n v="0"/>
    <s v="5%"/>
    <n v="0.95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88"/>
    <s v="PTA NORTE "/>
    <s v="020617"/>
    <n v="2"/>
    <n v="6"/>
    <n v="17"/>
    <s v="ESTRELLA POLAR"/>
    <m/>
    <s v="EN OBRA"/>
    <n v="80"/>
    <m/>
    <s v="AKUA"/>
    <x v="1"/>
    <n v="1126000"/>
    <n v="127"/>
    <d v="2012-10-15T00:00:00"/>
    <s v="2DA-OCT"/>
    <n v="0.1"/>
    <s v="NO LIBERADO"/>
    <s v="BANCOMER"/>
    <m/>
    <n v="563000"/>
    <n v="0"/>
    <n v="563000"/>
    <n v="0"/>
    <n v="0"/>
    <s v="5%"/>
    <n v="0.95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89"/>
    <s v="PTA NORTE "/>
    <s v="020618"/>
    <n v="2"/>
    <n v="6"/>
    <n v="18"/>
    <s v="ESTRELLA POLAR"/>
    <m/>
    <s v="EN OBRA"/>
    <n v="80"/>
    <m/>
    <s v="AKUA"/>
    <x v="1"/>
    <n v="1126000"/>
    <n v="128"/>
    <d v="2012-10-15T00:00:00"/>
    <s v="2DA-OCT"/>
    <n v="0.1"/>
    <s v="NO LIBERADO"/>
    <s v="BANCOMER"/>
    <m/>
    <n v="563000"/>
    <n v="0"/>
    <n v="563000"/>
    <n v="0"/>
    <n v="0"/>
    <s v="5%"/>
    <n v="0.95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90"/>
    <s v="PTA NORTE "/>
    <s v="020619"/>
    <n v="2"/>
    <n v="6"/>
    <n v="19"/>
    <s v="ESTRELLA POLAR"/>
    <m/>
    <s v="EN OBRA"/>
    <n v="80"/>
    <m/>
    <s v="MARINE"/>
    <x v="1"/>
    <n v="1135000"/>
    <n v="129"/>
    <d v="2012-10-15T00:00:00"/>
    <s v="2DA-OCT"/>
    <n v="0.1"/>
    <s v="NO LIBERADO"/>
    <s v="BANCOMER"/>
    <m/>
    <n v="567500"/>
    <n v="0"/>
    <n v="567500"/>
    <n v="0"/>
    <n v="0"/>
    <s v="5%"/>
    <n v="0.95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91"/>
    <s v="PTA NORTE "/>
    <s v="020620"/>
    <n v="2"/>
    <n v="6"/>
    <n v="20"/>
    <s v="ESTRELLA POLAR"/>
    <m/>
    <s v="EN OBRA"/>
    <n v="80"/>
    <m/>
    <s v="AKUA"/>
    <x v="1"/>
    <n v="1126000"/>
    <n v="130"/>
    <d v="2012-10-15T00:00:00"/>
    <s v="2DA-OCT"/>
    <n v="0.1"/>
    <s v="NO LIBERADO"/>
    <s v="BANCOMER"/>
    <m/>
    <n v="563000"/>
    <n v="551740"/>
    <n v="11260"/>
    <n v="0"/>
    <n v="551740"/>
    <s v="99%"/>
    <n v="1.0000000000000009E-2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92"/>
    <s v="PTA NORTE "/>
    <s v="020621"/>
    <n v="2"/>
    <n v="6"/>
    <n v="21"/>
    <s v="ESTRELLA POLAR"/>
    <m/>
    <s v="EN OBRA"/>
    <n v="80"/>
    <m/>
    <s v="AKUA"/>
    <x v="1"/>
    <n v="1126000"/>
    <n v="131"/>
    <d v="2012-10-15T00:00:00"/>
    <s v="2DA-OCT"/>
    <n v="0.1"/>
    <s v="NO LIBERADO"/>
    <s v="BANCOMER"/>
    <m/>
    <n v="563000"/>
    <n v="551740"/>
    <n v="11260"/>
    <n v="0"/>
    <n v="551740"/>
    <s v="99%"/>
    <n v="1.0000000000000009E-2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93"/>
    <s v="PTA NORTE "/>
    <s v="020622"/>
    <n v="2"/>
    <n v="6"/>
    <n v="22"/>
    <s v="ESTRELLA POLAR"/>
    <m/>
    <s v="EN OBRA"/>
    <n v="82.236000000000004"/>
    <m/>
    <s v="MARINE"/>
    <x v="1"/>
    <n v="1143496.8"/>
    <n v="132"/>
    <d v="2012-10-15T00:00:00"/>
    <s v="2DA-OCT"/>
    <n v="0.1"/>
    <s v="NO LIBERADO"/>
    <s v="BANCOMER"/>
    <m/>
    <n v="571748.4"/>
    <n v="560313.43200000003"/>
    <n v="11434.967999999993"/>
    <n v="0"/>
    <n v="560313.43200000003"/>
    <s v="99%"/>
    <n v="1.0000000000000009E-2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811.6560000000004"/>
    <n v="3811.6560000000004"/>
    <n v="3811.6560000000004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3496.8"/>
  </r>
  <r>
    <n v="94"/>
    <s v="PTA NORTE "/>
    <s v="020701"/>
    <n v="2"/>
    <n v="7"/>
    <n v="1"/>
    <s v="ESTRELLA LUMINOSA"/>
    <m/>
    <s v="EN OBRA"/>
    <n v="82.113"/>
    <m/>
    <s v="AKUA"/>
    <x v="1"/>
    <n v="1134029.3999999999"/>
    <n v="133"/>
    <d v="2012-10-15T00:00:00"/>
    <s v="2DA-OCT"/>
    <n v="0.1"/>
    <s v="NO LIBERADO"/>
    <s v="BANCOMER"/>
    <m/>
    <n v="567014.69999999995"/>
    <n v="555674.40599999996"/>
    <n v="11340.293999999994"/>
    <n v="0"/>
    <n v="555674.40599999996"/>
    <s v="99%"/>
    <n v="1.0000000000000009E-2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0.098"/>
    <n v="3780.098"/>
    <n v="3780.098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4029.3999999999"/>
  </r>
  <r>
    <n v="95"/>
    <s v="PTA NORTE "/>
    <s v="020702"/>
    <n v="2"/>
    <n v="7"/>
    <n v="2"/>
    <s v="ESTRELLA LUMINOSA"/>
    <m/>
    <s v="EN OBRA"/>
    <n v="80"/>
    <m/>
    <s v="AKUA"/>
    <x v="1"/>
    <n v="1126000"/>
    <n v="134"/>
    <d v="2012-10-15T00:00:00"/>
    <s v="2DA-OCT"/>
    <n v="0.1"/>
    <s v="NO LIBERADO"/>
    <s v="BANCOMER"/>
    <m/>
    <n v="563000"/>
    <n v="551740"/>
    <n v="11260"/>
    <n v="0"/>
    <n v="551740"/>
    <s v="99%"/>
    <n v="1.0000000000000009E-2"/>
    <d v="2012-06-23T00:00:00"/>
    <d v="2012-06-23T00:00:00"/>
    <d v="2012-06-2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96"/>
    <s v="PTA NORTE "/>
    <s v="020703"/>
    <n v="2"/>
    <n v="7"/>
    <n v="3"/>
    <s v="ESTRELLA LUMINOSA"/>
    <m/>
    <s v="EN OBRA"/>
    <n v="80"/>
    <m/>
    <s v="MARINE"/>
    <x v="1"/>
    <n v="1135000"/>
    <n v="135"/>
    <d v="2012-10-15T00:00:00"/>
    <s v="2DA-OCT"/>
    <n v="0.1"/>
    <s v="NO LIBERADO"/>
    <s v="BANCOMER"/>
    <m/>
    <n v="567500"/>
    <n v="556150"/>
    <n v="11350"/>
    <n v="0"/>
    <n v="556150"/>
    <s v="99%"/>
    <n v="1.0000000000000009E-2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97"/>
    <s v="PTA NORTE "/>
    <s v="020704"/>
    <n v="2"/>
    <n v="7"/>
    <n v="4"/>
    <s v="ESTRELLA LUMINOSA"/>
    <m/>
    <s v="EN OBRA"/>
    <n v="80"/>
    <m/>
    <s v="AKUA"/>
    <x v="1"/>
    <n v="1126000"/>
    <n v="136"/>
    <d v="2012-10-15T00:00:00"/>
    <s v="2DA-OCT"/>
    <n v="0.1"/>
    <s v="NO LIBERADO"/>
    <s v="BANCOMER"/>
    <m/>
    <n v="563000"/>
    <n v="551740"/>
    <n v="11260"/>
    <n v="0"/>
    <n v="551740"/>
    <s v="99%"/>
    <n v="1.0000000000000009E-2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98"/>
    <s v="PTA NORTE "/>
    <s v="020705"/>
    <n v="2"/>
    <n v="7"/>
    <n v="5"/>
    <s v="ESTRELLA LUMINOSA"/>
    <m/>
    <s v="EN OBRA"/>
    <n v="80"/>
    <m/>
    <s v="AKUA"/>
    <x v="1"/>
    <n v="1126000"/>
    <n v="137"/>
    <d v="2012-10-15T00:00:00"/>
    <s v="2DA-OCT"/>
    <n v="0.1"/>
    <s v="NO LIBERADO"/>
    <s v="BANCOMER"/>
    <m/>
    <n v="563000"/>
    <n v="551740"/>
    <n v="11260"/>
    <n v="0"/>
    <n v="551740"/>
    <s v="99%"/>
    <n v="1.0000000000000009E-2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99"/>
    <s v="PTA NORTE "/>
    <s v="020706"/>
    <n v="2"/>
    <n v="7"/>
    <n v="6"/>
    <s v="ESTRELLA LUMINOSA"/>
    <m/>
    <s v="EN OBRA"/>
    <n v="80"/>
    <m/>
    <s v="MARINE"/>
    <x v="1"/>
    <n v="1135000"/>
    <n v="138"/>
    <d v="2012-10-15T00:00:00"/>
    <s v="2DA-OCT"/>
    <n v="0.1"/>
    <s v="NO LIBERADO"/>
    <s v="BANCOMER"/>
    <m/>
    <n v="567500"/>
    <n v="556150"/>
    <n v="11350"/>
    <n v="0"/>
    <n v="556150"/>
    <s v="99%"/>
    <n v="1.0000000000000009E-2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00"/>
    <s v="PTA NORTE "/>
    <s v="020707"/>
    <n v="2"/>
    <n v="7"/>
    <n v="7"/>
    <s v="ESTRELLA LUMINOSA"/>
    <m/>
    <s v="EN OBRA"/>
    <n v="80"/>
    <m/>
    <s v="AKUA"/>
    <x v="1"/>
    <n v="1126000"/>
    <n v="139"/>
    <d v="2012-10-15T00:00:00"/>
    <s v="2DA-OCT"/>
    <n v="0.1"/>
    <s v="NO LIBERADO"/>
    <s v="BANCOMER"/>
    <m/>
    <n v="563000"/>
    <n v="551740"/>
    <n v="11260"/>
    <n v="0"/>
    <n v="551740"/>
    <s v="99%"/>
    <n v="1.0000000000000009E-2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01"/>
    <s v="PTA NORTE "/>
    <s v="020708"/>
    <n v="2"/>
    <n v="7"/>
    <n v="8"/>
    <s v="ESTRELLA LUMINOSA"/>
    <m/>
    <s v="EN OBRA"/>
    <n v="80"/>
    <m/>
    <s v="AKUA"/>
    <x v="1"/>
    <n v="1126000"/>
    <n v="140"/>
    <d v="2012-10-15T00:00:00"/>
    <s v="2DA-OCT"/>
    <n v="0.1"/>
    <s v="NO LIBERADO"/>
    <s v="BANCOMER"/>
    <m/>
    <n v="563000"/>
    <n v="551740"/>
    <n v="11260"/>
    <n v="0"/>
    <n v="551740"/>
    <s v="99%"/>
    <n v="1.0000000000000009E-2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02"/>
    <s v="PTA NORTE "/>
    <s v="020709"/>
    <n v="2"/>
    <n v="7"/>
    <n v="9"/>
    <s v="ESTRELLA LUMINOSA"/>
    <m/>
    <s v="EN OBRA"/>
    <n v="80"/>
    <m/>
    <s v="MARINE"/>
    <x v="1"/>
    <n v="1135000"/>
    <n v="141"/>
    <d v="2012-10-15T00:00:00"/>
    <s v="2DA-OCT"/>
    <n v="0.1"/>
    <s v="NO LIBERADO"/>
    <s v="BANCOMER"/>
    <m/>
    <n v="567500"/>
    <n v="556150"/>
    <n v="11350"/>
    <n v="0"/>
    <n v="556150"/>
    <s v="99%"/>
    <n v="1.0000000000000009E-2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03"/>
    <s v="PTA NORTE "/>
    <s v="020710"/>
    <n v="2"/>
    <n v="7"/>
    <n v="10"/>
    <s v="ESTRELLA LUMINOSA"/>
    <m/>
    <s v="EN OBRA"/>
    <n v="80"/>
    <m/>
    <s v="AKUA"/>
    <x v="1"/>
    <n v="1126000"/>
    <n v="142"/>
    <d v="2012-10-15T00:00:00"/>
    <s v="2DA-OCT"/>
    <n v="0.1"/>
    <s v="NO LIBERADO"/>
    <s v="BANCOMER"/>
    <m/>
    <n v="563000"/>
    <n v="551740"/>
    <n v="11260"/>
    <n v="0"/>
    <n v="551740"/>
    <s v="99%"/>
    <n v="1.0000000000000009E-2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04"/>
    <s v="PTA NORTE "/>
    <s v="020711"/>
    <n v="2"/>
    <n v="7"/>
    <n v="11"/>
    <s v="ESTRELLA LUMINOSA"/>
    <m/>
    <s v="EN OBRA"/>
    <n v="80"/>
    <m/>
    <s v="AKUA"/>
    <x v="1"/>
    <n v="1126000"/>
    <n v="143"/>
    <d v="2012-10-15T00:00:00"/>
    <s v="2DA-OCT"/>
    <n v="0.1"/>
    <s v="NO LIBERADO"/>
    <s v="BANCOMER"/>
    <m/>
    <n v="563000"/>
    <n v="551740"/>
    <n v="11260"/>
    <n v="0"/>
    <n v="551740"/>
    <s v="99%"/>
    <n v="1.0000000000000009E-2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05"/>
    <s v="PTA NORTE "/>
    <s v="020712"/>
    <n v="2"/>
    <n v="7"/>
    <n v="12"/>
    <s v="ESTRELLA LUMINOSA"/>
    <m/>
    <s v="EN OBRA"/>
    <n v="80"/>
    <m/>
    <s v="MARINE"/>
    <x v="1"/>
    <n v="1135000"/>
    <n v="144"/>
    <d v="2012-10-15T00:00:00"/>
    <s v="2DA-OCT"/>
    <n v="0.1"/>
    <s v="NO LIBERADO"/>
    <s v="BANCOMER"/>
    <m/>
    <n v="567500"/>
    <n v="170250"/>
    <n v="397250"/>
    <n v="0"/>
    <n v="170250"/>
    <s v="30%"/>
    <n v="0.7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06"/>
    <s v="PTA NORTE "/>
    <s v="020713"/>
    <n v="2"/>
    <n v="7"/>
    <n v="13"/>
    <s v="ESTRELLA LUMINOSA"/>
    <m/>
    <s v="EN OBRA"/>
    <n v="114.78100000000001"/>
    <m/>
    <s v="MARINE"/>
    <x v="1"/>
    <n v="1267167.8"/>
    <n v="145"/>
    <d v="2012-10-15T00:00:00"/>
    <s v="2DA-OCT"/>
    <n v="0.1"/>
    <s v="NO LIBERADO"/>
    <s v="BANCOMER"/>
    <m/>
    <n v="633583.9"/>
    <n v="538546.31500000006"/>
    <n v="95037.584999999963"/>
    <n v="0"/>
    <n v="538546.31500000006"/>
    <s v="85%"/>
    <n v="0.15000000000000002"/>
    <d v="2012-06-23T00:00:00"/>
    <d v="2012-06-23T00:00:00"/>
    <d v="2012-06-2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4223.8926666666666"/>
    <n v="4223.8926666666666"/>
    <n v="4223.8926666666666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67167.8"/>
  </r>
  <r>
    <n v="107"/>
    <s v="PTA NORTE "/>
    <s v="020714"/>
    <n v="2"/>
    <n v="7"/>
    <n v="14"/>
    <s v="ESTRELLA LUMINOSA"/>
    <m/>
    <s v="EN OBRA"/>
    <n v="80"/>
    <m/>
    <s v="AKUA"/>
    <x v="1"/>
    <n v="1126000"/>
    <n v="146"/>
    <d v="2012-10-15T00:00:00"/>
    <s v="2DA-OCT"/>
    <n v="0.1"/>
    <s v="NO LIBERADO"/>
    <s v="BANCOMER"/>
    <m/>
    <n v="563000"/>
    <n v="354690"/>
    <n v="208310"/>
    <n v="0"/>
    <n v="354690"/>
    <s v="65%"/>
    <n v="0.35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08"/>
    <s v="PTA NORTE "/>
    <s v="020715"/>
    <n v="2"/>
    <n v="7"/>
    <n v="15"/>
    <s v="ESTRELLA LUMINOSA"/>
    <m/>
    <s v="EN OBRA"/>
    <n v="80"/>
    <m/>
    <s v="AKUA"/>
    <x v="1"/>
    <n v="1126000"/>
    <n v="147"/>
    <d v="2012-10-15T00:00:00"/>
    <s v="2DA-OCT"/>
    <n v="0.1"/>
    <s v="NO LIBERADO"/>
    <s v="BANCOMER"/>
    <m/>
    <n v="563000"/>
    <n v="354690"/>
    <n v="208310"/>
    <n v="0"/>
    <n v="354690"/>
    <s v="65%"/>
    <n v="0.35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09"/>
    <s v="PTA NORTE "/>
    <s v="020716"/>
    <n v="2"/>
    <n v="7"/>
    <n v="16"/>
    <s v="ESTRELLA LUMINOSA"/>
    <m/>
    <s v="EN OBRA"/>
    <n v="80"/>
    <m/>
    <s v="MARINE"/>
    <x v="1"/>
    <n v="1135000"/>
    <n v="148"/>
    <d v="2012-10-15T00:00:00"/>
    <s v="2DA-OCT"/>
    <n v="0.1"/>
    <s v="NO LIBERADO"/>
    <s v="BANCOMER"/>
    <m/>
    <n v="567500"/>
    <n v="357525"/>
    <n v="209975"/>
    <n v="0"/>
    <n v="357525"/>
    <s v="65%"/>
    <n v="0.35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10"/>
    <s v="PTA NORTE "/>
    <s v="020717"/>
    <n v="2"/>
    <n v="7"/>
    <n v="17"/>
    <s v="ESTRELLA LUMINOSA"/>
    <m/>
    <s v="EN OBRA"/>
    <n v="80"/>
    <m/>
    <s v="AKUA"/>
    <x v="1"/>
    <n v="1126000"/>
    <n v="149"/>
    <d v="2012-10-15T00:00:00"/>
    <s v="2DA-OCT"/>
    <n v="0.1"/>
    <s v="NO LIBERADO"/>
    <s v="BANCOMER"/>
    <m/>
    <n v="563000"/>
    <n v="354690"/>
    <n v="208310"/>
    <n v="0"/>
    <n v="354690"/>
    <s v="65%"/>
    <n v="0.35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11"/>
    <s v="PTA NORTE "/>
    <s v="020718"/>
    <n v="2"/>
    <n v="7"/>
    <n v="18"/>
    <s v="ESTRELLA LUMINOSA"/>
    <m/>
    <s v="EN OBRA"/>
    <n v="80"/>
    <m/>
    <s v="AKUA"/>
    <x v="1"/>
    <n v="1126000"/>
    <n v="150"/>
    <d v="2012-10-15T00:00:00"/>
    <s v="2DA-OCT"/>
    <n v="0.1"/>
    <s v="NO LIBERADO"/>
    <s v="BANCOMER"/>
    <m/>
    <n v="563000"/>
    <n v="354690"/>
    <n v="208310"/>
    <n v="0"/>
    <n v="354690"/>
    <s v="65%"/>
    <n v="0.35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12"/>
    <s v="PTA NORTE "/>
    <s v="020719"/>
    <n v="2"/>
    <n v="7"/>
    <n v="19"/>
    <s v="ESTRELLA LUMINOSA"/>
    <m/>
    <s v="EN OBRA"/>
    <n v="80"/>
    <m/>
    <s v="MARINE"/>
    <x v="1"/>
    <n v="1135000"/>
    <n v="151"/>
    <d v="2012-10-15T00:00:00"/>
    <s v="2DA-OCT"/>
    <n v="0.1"/>
    <s v="NO LIBERADO"/>
    <s v="BANCOMER"/>
    <m/>
    <n v="567500"/>
    <n v="357525"/>
    <n v="209975"/>
    <n v="0"/>
    <n v="357525"/>
    <s v="65%"/>
    <n v="0.35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13"/>
    <s v="PTA NORTE "/>
    <s v="020720"/>
    <n v="2"/>
    <n v="7"/>
    <n v="20"/>
    <s v="ESTRELLA LUMINOSA"/>
    <m/>
    <s v="EN OBRA"/>
    <n v="80"/>
    <m/>
    <s v="AKUA"/>
    <x v="1"/>
    <n v="1126000"/>
    <n v="152"/>
    <d v="2012-10-15T00:00:00"/>
    <s v="2DA-OCT"/>
    <n v="0.1"/>
    <s v="NO LIBERADO"/>
    <s v="BANCOMER"/>
    <m/>
    <n v="563000"/>
    <n v="354690"/>
    <n v="208310"/>
    <n v="0"/>
    <n v="354690"/>
    <s v="65%"/>
    <n v="0.35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14"/>
    <s v="PTA NORTE "/>
    <s v="020721"/>
    <n v="2"/>
    <n v="7"/>
    <n v="21"/>
    <s v="ESTRELLA LUMINOSA"/>
    <m/>
    <s v="EN OBRA"/>
    <n v="80"/>
    <m/>
    <s v="AKUA"/>
    <x v="1"/>
    <n v="1126000"/>
    <n v="153"/>
    <d v="2012-10-15T00:00:00"/>
    <s v="2DA-OCT"/>
    <n v="0.1"/>
    <s v="NO LIBERADO"/>
    <s v="BANCOMER"/>
    <m/>
    <n v="563000"/>
    <n v="354690"/>
    <n v="208310"/>
    <n v="0"/>
    <n v="354690"/>
    <s v="65%"/>
    <n v="0.35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15"/>
    <s v="PTA NORTE "/>
    <s v="020722"/>
    <n v="2"/>
    <n v="7"/>
    <n v="22"/>
    <s v="ESTRELLA LUMINOSA"/>
    <m/>
    <s v="EN OBRA"/>
    <n v="80"/>
    <m/>
    <s v="MARINE"/>
    <x v="1"/>
    <n v="1135000"/>
    <n v="154"/>
    <d v="2012-10-15T00:00:00"/>
    <s v="2DA-OCT"/>
    <n v="0.1"/>
    <s v="NO LIBERADO"/>
    <s v="BANCOMER"/>
    <m/>
    <n v="567500"/>
    <n v="357525"/>
    <n v="209975"/>
    <n v="0"/>
    <n v="357525"/>
    <s v="65%"/>
    <n v="0.35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16"/>
    <s v="PTA NORTE "/>
    <s v="020723"/>
    <n v="2"/>
    <n v="7"/>
    <n v="23"/>
    <s v="ESTRELLA LUMINOSA"/>
    <m/>
    <s v="EN OBRA"/>
    <n v="80"/>
    <m/>
    <s v="AKUA"/>
    <x v="1"/>
    <n v="1126000"/>
    <n v="155"/>
    <d v="2012-10-15T00:00:00"/>
    <s v="2DA-OCT"/>
    <n v="0.1"/>
    <s v="NO LIBERADO"/>
    <s v="BANCOMER"/>
    <m/>
    <n v="563000"/>
    <n v="354690"/>
    <n v="208310"/>
    <n v="0"/>
    <n v="354690"/>
    <s v="65%"/>
    <n v="0.35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17"/>
    <s v="PTA NORTE "/>
    <s v="020724"/>
    <n v="2"/>
    <n v="7"/>
    <n v="24"/>
    <s v="ESTRELLA LUMINOSA"/>
    <m/>
    <s v="EN OBRA"/>
    <n v="81.927999999999997"/>
    <m/>
    <s v="AKUA"/>
    <x v="1"/>
    <n v="1133326.3999999999"/>
    <n v="156"/>
    <d v="2012-10-15T00:00:00"/>
    <s v="2DA-OCT"/>
    <n v="0.1"/>
    <s v="NO LIBERADO"/>
    <s v="BANCOMER"/>
    <m/>
    <n v="566663.19999999995"/>
    <n v="356997.81599999999"/>
    <n v="209665.38399999996"/>
    <n v="0"/>
    <n v="356997.81599999999"/>
    <s v="65%"/>
    <n v="0.35"/>
    <d v="2012-06-23T00:00:00"/>
    <d v="2012-06-23T00:00:00"/>
    <d v="2012-06-2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77.7546666666663"/>
    <n v="3777.7546666666663"/>
    <n v="3777.7546666666663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3326.3999999999"/>
  </r>
  <r>
    <n v="118"/>
    <s v="PTA NORTE "/>
    <s v="020801"/>
    <n v="2"/>
    <n v="8"/>
    <n v="1"/>
    <s v="ESTRELLA PONIENTE"/>
    <m/>
    <s v="EN OBRA"/>
    <n v="81.805000000000007"/>
    <m/>
    <s v="MARINE"/>
    <x v="1"/>
    <n v="1141859"/>
    <n v="157"/>
    <d v="2012-10-15T00:00:00"/>
    <s v="2DA-OCT"/>
    <n v="0.1"/>
    <s v="NO LIBERADO"/>
    <s v="BANCOMER"/>
    <m/>
    <n v="570929.5"/>
    <n v="228371.80000000002"/>
    <n v="342557.69999999995"/>
    <n v="0"/>
    <n v="228371.80000000002"/>
    <s v="40%"/>
    <n v="0.6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806.1966666666667"/>
    <n v="3806.1966666666667"/>
    <n v="3806.1966666666667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1859"/>
  </r>
  <r>
    <n v="119"/>
    <s v="PTA NORTE "/>
    <s v="020802"/>
    <n v="2"/>
    <n v="8"/>
    <n v="2"/>
    <s v="ESTRELLA PONIENTE"/>
    <m/>
    <s v="EN OBRA"/>
    <n v="80"/>
    <m/>
    <s v="AKUA"/>
    <x v="1"/>
    <n v="1126000"/>
    <n v="158"/>
    <d v="2012-10-30T00:00:00"/>
    <s v="2DA-OCT"/>
    <n v="0.1"/>
    <s v="NO LIBERADO"/>
    <s v="BANCOMER"/>
    <m/>
    <n v="563000"/>
    <n v="225200"/>
    <n v="337800"/>
    <n v="0"/>
    <n v="225200"/>
    <s v="40%"/>
    <n v="0.6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20"/>
    <s v="PTA NORTE "/>
    <s v="020803"/>
    <n v="2"/>
    <n v="8"/>
    <n v="3"/>
    <s v="ESTRELLA PONIENTE"/>
    <m/>
    <s v="EN OBRA"/>
    <n v="80"/>
    <m/>
    <s v="AKUA"/>
    <x v="1"/>
    <n v="1126000"/>
    <n v="159"/>
    <d v="2012-10-30T00:00:00"/>
    <s v="2DA-OCT"/>
    <n v="0.1"/>
    <s v="NO LIBERADO"/>
    <s v="BANCOMER"/>
    <m/>
    <n v="563000"/>
    <n v="225200"/>
    <n v="337800"/>
    <n v="0"/>
    <n v="225200"/>
    <s v="40%"/>
    <n v="0.6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21"/>
    <s v="PTA NORTE "/>
    <s v="020804"/>
    <n v="2"/>
    <n v="8"/>
    <n v="4"/>
    <s v="ESTRELLA PONIENTE"/>
    <m/>
    <s v="EN OBRA"/>
    <n v="80"/>
    <m/>
    <s v="MARINE"/>
    <x v="1"/>
    <n v="1135000"/>
    <n v="160"/>
    <d v="2012-10-30T00:00:00"/>
    <s v="2DA-OCT"/>
    <n v="0.1"/>
    <s v="NO LIBERADO"/>
    <s v="BANCOMER"/>
    <m/>
    <n v="567500"/>
    <n v="227000"/>
    <n v="340500"/>
    <n v="0"/>
    <n v="227000"/>
    <s v="40%"/>
    <n v="0.6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22"/>
    <s v="PTA NORTE "/>
    <s v="020805"/>
    <n v="2"/>
    <n v="8"/>
    <n v="5"/>
    <s v="ESTRELLA PONIENTE"/>
    <m/>
    <s v="EN OBRA"/>
    <n v="80"/>
    <m/>
    <s v="AKUA"/>
    <x v="1"/>
    <n v="1126000"/>
    <n v="161"/>
    <d v="2012-10-30T00:00:00"/>
    <s v="2DA-OCT"/>
    <n v="0.1"/>
    <s v="NO LIBERADO"/>
    <s v="BANCOMER"/>
    <m/>
    <n v="563000"/>
    <n v="225200"/>
    <n v="337800"/>
    <n v="0"/>
    <n v="225200"/>
    <s v="40%"/>
    <n v="0.6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23"/>
    <s v="PTA NORTE "/>
    <s v="020806"/>
    <n v="2"/>
    <n v="8"/>
    <n v="6"/>
    <s v="ESTRELLA PONIENTE"/>
    <m/>
    <s v="EN OBRA"/>
    <n v="80"/>
    <m/>
    <s v="AKUA"/>
    <x v="1"/>
    <n v="1126000"/>
    <n v="162"/>
    <d v="2012-10-30T00:00:00"/>
    <s v="2DA-OCT"/>
    <n v="0.1"/>
    <s v="NO LIBERADO"/>
    <s v="BANCOMER"/>
    <m/>
    <n v="563000"/>
    <n v="225200"/>
    <n v="337800"/>
    <n v="0"/>
    <n v="225200"/>
    <s v="40%"/>
    <n v="0.6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24"/>
    <s v="PTA NORTE "/>
    <s v="020807"/>
    <n v="2"/>
    <n v="8"/>
    <n v="7"/>
    <s v="ESTRELLA PONIENTE"/>
    <m/>
    <s v="EN OBRA"/>
    <n v="80"/>
    <m/>
    <s v="MARINE"/>
    <x v="1"/>
    <n v="1135000"/>
    <n v="163"/>
    <d v="2012-10-30T00:00:00"/>
    <s v="2DA-OCT"/>
    <n v="0.1"/>
    <s v="NO LIBERADO"/>
    <s v="BANCOMER"/>
    <m/>
    <n v="567500"/>
    <n v="227000"/>
    <n v="340500"/>
    <n v="0"/>
    <n v="227000"/>
    <s v="40%"/>
    <n v="0.6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25"/>
    <s v="PTA NORTE "/>
    <s v="020808"/>
    <n v="2"/>
    <n v="8"/>
    <n v="8"/>
    <s v="ESTRELLA PONIENTE"/>
    <m/>
    <s v="EN OBRA"/>
    <n v="80"/>
    <m/>
    <s v="AKUA"/>
    <x v="1"/>
    <n v="1126000"/>
    <n v="164"/>
    <d v="2012-10-30T00:00:00"/>
    <s v="2DA-OCT"/>
    <n v="0.1"/>
    <s v="NO LIBERADO"/>
    <s v="BANCOMER"/>
    <m/>
    <n v="563000"/>
    <n v="225200"/>
    <n v="337800"/>
    <n v="0"/>
    <n v="225200"/>
    <s v="40%"/>
    <n v="0.6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26"/>
    <s v="PTA NORTE "/>
    <s v="020809"/>
    <n v="2"/>
    <n v="8"/>
    <n v="9"/>
    <s v="TARRAGONA"/>
    <m/>
    <s v="EN OBRA"/>
    <n v="95.784999999999997"/>
    <m/>
    <s v="AKUA"/>
    <x v="1"/>
    <n v="1185983"/>
    <n v="165"/>
    <d v="2012-10-30T00:00:00"/>
    <s v="2DA-OCT"/>
    <n v="0.1"/>
    <s v="NO LIBERADO"/>
    <s v="BANCOMER"/>
    <m/>
    <n v="592991.5"/>
    <n v="237196.6"/>
    <n v="355794.9"/>
    <n v="0"/>
    <n v="237196.6"/>
    <s v="40%"/>
    <n v="0.6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953.2766666666666"/>
    <n v="3953.2766666666666"/>
    <n v="3953.2766666666666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85983"/>
  </r>
  <r>
    <n v="127"/>
    <s v="PTA NORTE "/>
    <s v="020810"/>
    <n v="2"/>
    <n v="8"/>
    <n v="10"/>
    <s v="TARRAGONA"/>
    <m/>
    <s v="EN OBRA"/>
    <n v="88.542000000000002"/>
    <m/>
    <s v="AKUA"/>
    <x v="1"/>
    <n v="1158459.6000000001"/>
    <n v="166"/>
    <d v="2012-10-30T00:00:00"/>
    <s v="2DA-OCT"/>
    <n v="0.1"/>
    <s v="NO LIBERADO"/>
    <s v="BANCOMER"/>
    <m/>
    <n v="579229.80000000005"/>
    <n v="231691.92000000004"/>
    <n v="347537.88"/>
    <n v="0"/>
    <n v="231691.92000000004"/>
    <s v="40%"/>
    <n v="0.6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861.5320000000006"/>
    <n v="3861.5320000000006"/>
    <n v="3861.5320000000006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58459.6000000001"/>
  </r>
  <r>
    <n v="128"/>
    <s v="PTA NORTE "/>
    <s v="020811"/>
    <n v="2"/>
    <n v="8"/>
    <n v="11"/>
    <s v="TARRAGONA"/>
    <m/>
    <s v="EN OBRA"/>
    <n v="96.582999999999998"/>
    <m/>
    <s v="MARINE"/>
    <x v="1"/>
    <n v="1198015.3999999999"/>
    <n v="167"/>
    <d v="2012-10-30T00:00:00"/>
    <s v="2DA-OCT"/>
    <n v="0.1"/>
    <s v="NO LIBERADO"/>
    <s v="BANCOMER"/>
    <m/>
    <n v="599007.69999999995"/>
    <n v="239603.08"/>
    <n v="359404.62"/>
    <n v="0"/>
    <n v="239603.08"/>
    <s v="40%"/>
    <n v="0.6"/>
    <d v="2012-06-23T00:00:00"/>
    <d v="2012-06-23T00:00:00"/>
    <d v="2012-06-2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993.3846666666664"/>
    <n v="3993.3846666666664"/>
    <n v="3993.3846666666664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98015.3999999999"/>
  </r>
  <r>
    <n v="129"/>
    <s v="PTA NORTE "/>
    <s v="020812"/>
    <n v="2"/>
    <n v="8"/>
    <n v="12"/>
    <s v="ESTRELLA PONIENTE"/>
    <m/>
    <s v="EN OBRA"/>
    <n v="80"/>
    <m/>
    <s v="AKUA"/>
    <x v="1"/>
    <n v="1126000"/>
    <n v="168"/>
    <d v="2012-10-30T00:00:00"/>
    <s v="2DA-OCT"/>
    <n v="0.1"/>
    <s v="NO LIBERADO"/>
    <s v="BANCOMER"/>
    <m/>
    <n v="563000"/>
    <n v="112600"/>
    <n v="450400"/>
    <n v="0"/>
    <n v="112600"/>
    <s v="20%"/>
    <n v="0.8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30"/>
    <s v="PTA NORTE "/>
    <s v="020813"/>
    <n v="2"/>
    <n v="8"/>
    <n v="13"/>
    <s v="ESTRELLA PONIENTE"/>
    <m/>
    <s v="EN OBRA"/>
    <n v="80"/>
    <m/>
    <s v="AKUA"/>
    <x v="1"/>
    <n v="1126000"/>
    <n v="169"/>
    <d v="2012-10-30T00:00:00"/>
    <s v="2DA-OCT"/>
    <n v="0.1"/>
    <s v="NO LIBERADO"/>
    <s v="BANCOMER"/>
    <m/>
    <n v="563000"/>
    <n v="112600"/>
    <n v="450400"/>
    <n v="0"/>
    <n v="112600"/>
    <s v="20%"/>
    <n v="0.8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31"/>
    <s v="PTA NORTE "/>
    <s v="020814"/>
    <n v="2"/>
    <n v="8"/>
    <n v="14"/>
    <s v="ESTRELLA PONIENTE"/>
    <m/>
    <s v="EN OBRA"/>
    <n v="80"/>
    <m/>
    <s v="MARINE"/>
    <x v="1"/>
    <n v="1135000"/>
    <n v="170"/>
    <d v="2012-10-30T00:00:00"/>
    <s v="2DA-OCT"/>
    <n v="0.1"/>
    <s v="NO LIBERADO"/>
    <s v="BANCOMER"/>
    <m/>
    <n v="567500"/>
    <n v="113500"/>
    <n v="454000"/>
    <n v="0"/>
    <n v="113500"/>
    <s v="20%"/>
    <n v="0.8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32"/>
    <s v="PTA NORTE "/>
    <s v="020815"/>
    <n v="2"/>
    <n v="8"/>
    <n v="15"/>
    <s v="ESTRELLA PONIENTE"/>
    <m/>
    <s v="EN OBRA"/>
    <n v="80"/>
    <m/>
    <s v="AKUA"/>
    <x v="1"/>
    <n v="1126000"/>
    <n v="171"/>
    <d v="2012-10-30T00:00:00"/>
    <s v="2DA-OCT"/>
    <n v="0.1"/>
    <s v="NO LIBERADO"/>
    <s v="BANCOMER"/>
    <m/>
    <n v="563000"/>
    <n v="112600"/>
    <n v="450400"/>
    <n v="0"/>
    <n v="112600"/>
    <s v="20%"/>
    <n v="0.8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33"/>
    <s v="PTA NORTE "/>
    <s v="020816"/>
    <n v="2"/>
    <n v="8"/>
    <n v="16"/>
    <s v="ESTRELLA PONIENTE"/>
    <m/>
    <s v="EN OBRA"/>
    <n v="80"/>
    <m/>
    <s v="AKUA"/>
    <x v="1"/>
    <n v="1126000"/>
    <n v="172"/>
    <d v="2012-10-30T00:00:00"/>
    <s v="2DA-OCT"/>
    <n v="0.1"/>
    <s v="NO LIBERADO"/>
    <s v="BANCOMER"/>
    <m/>
    <n v="563000"/>
    <n v="112600"/>
    <n v="450400"/>
    <n v="0"/>
    <n v="112600"/>
    <s v="20%"/>
    <n v="0.8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34"/>
    <s v="PTA NORTE "/>
    <s v="020817"/>
    <n v="2"/>
    <n v="8"/>
    <n v="17"/>
    <s v="ESTRELLA PONIENTE"/>
    <m/>
    <s v="EN OBRA"/>
    <n v="80"/>
    <m/>
    <s v="MARINE"/>
    <x v="1"/>
    <n v="1135000"/>
    <n v="173"/>
    <d v="2012-10-30T00:00:00"/>
    <s v="2DA-OCT"/>
    <n v="0.1"/>
    <s v="NO LIBERADO"/>
    <s v="BANCOMER"/>
    <m/>
    <n v="567500"/>
    <n v="113500"/>
    <n v="454000"/>
    <n v="0"/>
    <n v="113500"/>
    <s v="20%"/>
    <n v="0.8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35"/>
    <s v="PTA NORTE "/>
    <s v="020818"/>
    <n v="2"/>
    <n v="8"/>
    <n v="18"/>
    <s v="ESTRELLA PONIENTE"/>
    <m/>
    <s v="EN OBRA"/>
    <n v="80"/>
    <m/>
    <s v="AKUA"/>
    <x v="1"/>
    <n v="1126000"/>
    <n v="174"/>
    <d v="2012-10-30T00:00:00"/>
    <s v="2DA-OCT"/>
    <n v="0.1"/>
    <s v="NO LIBERADO"/>
    <s v="BANCOMER"/>
    <m/>
    <n v="563000"/>
    <n v="112600"/>
    <n v="450400"/>
    <n v="0"/>
    <n v="112600"/>
    <s v="20%"/>
    <n v="0.8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36"/>
    <s v="PTA NORTE "/>
    <s v="020819"/>
    <n v="2"/>
    <n v="8"/>
    <n v="19"/>
    <s v="ESTRELLA PONIENTE"/>
    <m/>
    <s v="EN OBRA"/>
    <n v="80"/>
    <m/>
    <s v="AKUA"/>
    <x v="1"/>
    <n v="1126000"/>
    <n v="175"/>
    <d v="2012-10-30T00:00:00"/>
    <s v="2DA-OCT"/>
    <n v="0.1"/>
    <s v="NO LIBERADO"/>
    <s v="BANCOMER"/>
    <m/>
    <n v="563000"/>
    <n v="112600"/>
    <n v="450400"/>
    <n v="0"/>
    <n v="112600"/>
    <s v="20%"/>
    <n v="0.8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37"/>
    <s v="PTA NORTE "/>
    <s v="020820"/>
    <n v="2"/>
    <n v="8"/>
    <n v="20"/>
    <s v="ESTRELLA PONIENTE"/>
    <m/>
    <s v="EN OBRA"/>
    <n v="81.62"/>
    <m/>
    <s v="MARINE"/>
    <x v="1"/>
    <n v="1141156"/>
    <n v="176"/>
    <d v="2012-10-30T00:00:00"/>
    <s v="2DA-OCT"/>
    <n v="0.1"/>
    <s v="NO LIBERADO"/>
    <s v="BANCOMER"/>
    <m/>
    <n v="570578"/>
    <n v="114115.6"/>
    <n v="456462.4"/>
    <n v="0"/>
    <n v="114115.6"/>
    <s v="20%"/>
    <n v="0.8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803.853333333333"/>
    <n v="3803.853333333333"/>
    <n v="3803.853333333333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1156"/>
  </r>
  <r>
    <n v="138"/>
    <s v="PTA NORTE "/>
    <s v="020901"/>
    <n v="2"/>
    <n v="9"/>
    <n v="1"/>
    <s v="ESTRELLA NORTE"/>
    <m/>
    <s v="FIRMADO"/>
    <n v="81.495999999999995"/>
    <m/>
    <s v="MARINE"/>
    <x v="2"/>
    <n v="1140684.8"/>
    <n v="177"/>
    <d v="2012-08-15T00:00:00"/>
    <s v="2DA-AGO"/>
    <n v="1"/>
    <s v="LIBERADO"/>
    <s v="SANTANDER"/>
    <d v="2012-06-01T00:00:00"/>
    <n v="570342.40000000002"/>
    <n v="114068.48000000001"/>
    <n v="0"/>
    <n v="114068.48000000001"/>
    <n v="0"/>
    <s v="20%"/>
    <n v="0.8"/>
    <d v="2012-06-28T00:00:00"/>
    <d v="2012-06-28T00:00:00"/>
    <d v="2012-06-28T00:00:00"/>
    <d v="2012-03-30T00:00:00"/>
    <s v="MAYOR A 2 MESES"/>
    <s v="JOSE LUIS CASILLAS DIAZ"/>
    <m/>
    <m/>
    <m/>
    <m/>
    <m/>
    <m/>
    <n v="32168543"/>
    <n v="3215436"/>
    <m/>
    <s v="SEM 13"/>
    <s v="MAR"/>
    <n v="12000"/>
    <s v="HASTA 12 MIL"/>
    <s v="EXPO"/>
    <s v="APARTADO"/>
    <s v="COFINAVIT"/>
    <s v="MJV"/>
    <d v="2012-03-30T00:00:00"/>
    <x v="6"/>
    <d v="2012-04-07T00:00:00"/>
    <d v="2012-04-14T00:00:00"/>
    <d v="2012-04-14T00:00:00"/>
    <m/>
    <d v="2012-04-26T00:00:00"/>
    <m/>
    <m/>
    <n v="86"/>
    <m/>
    <s v="PAGADA"/>
    <s v="PAGADA"/>
    <s v="PAGADA"/>
    <n v="0.01"/>
    <n v="3802.2826666666665"/>
    <n v="3802.2826666666665"/>
    <n v="3802.2826666666665"/>
    <d v="2012-04-10T00:00:00"/>
    <d v="2012-04-30T00:00:00"/>
    <d v="2012-04-30T00:00:00"/>
    <m/>
    <s v="1ERA-ABR-2012"/>
    <s v="2DA-ABR-2012"/>
    <s v="2DA-ABR-2012"/>
    <s v="ND"/>
    <s v="SEM 13"/>
    <s v="MAR"/>
    <s v="SEM 17"/>
    <s v="ABR"/>
    <s v="NA"/>
    <s v=""/>
    <s v="2DA-ABR"/>
    <s v="MAYOR A 2 MESES"/>
    <s v="MAYOR A 2 MESES"/>
    <s v="DE 31 A 35 DIAS"/>
    <s v="DE 31 A 35 DIAS"/>
    <s v="DE 31 A 35 DIAS"/>
    <n v="30000"/>
    <n v="50000"/>
    <n v="120000"/>
    <m/>
    <m/>
    <m/>
    <m/>
    <m/>
    <m/>
    <m/>
    <m/>
    <x v="1"/>
    <x v="1"/>
    <x v="0"/>
    <x v="0"/>
    <x v="0"/>
    <x v="0"/>
    <x v="0"/>
    <x v="0"/>
    <x v="0"/>
    <x v="0"/>
    <n v="0"/>
    <n v="170000"/>
    <n v="0"/>
    <d v="2012-04-15T00:00:00"/>
    <d v="2012-04-30T00:00:00"/>
    <m/>
    <m/>
    <m/>
    <m/>
    <m/>
    <m/>
    <m/>
    <m/>
    <s v="SEM 16"/>
    <s v="SEM 18"/>
    <s v="NA"/>
    <s v="NA"/>
    <s v="NA"/>
    <s v="NA"/>
    <s v="NA"/>
    <s v="NA"/>
    <s v="NA"/>
    <s v="NA"/>
    <x v="1"/>
    <x v="1"/>
    <x v="0"/>
    <x v="0"/>
    <x v="0"/>
    <x v="0"/>
    <x v="0"/>
    <x v="0"/>
    <x v="0"/>
    <x v="0"/>
    <n v="2012"/>
    <n v="2012"/>
    <s v=""/>
    <s v=""/>
    <s v=""/>
    <s v=""/>
    <s v=""/>
    <s v=""/>
    <s v=""/>
    <s v=""/>
    <n v="940684.80000000005"/>
  </r>
  <r>
    <n v="139"/>
    <s v="PTA NORTE "/>
    <s v="020902"/>
    <n v="2"/>
    <n v="9"/>
    <n v="2"/>
    <s v="ESTRELLA NORTE"/>
    <m/>
    <s v="FIRMADO"/>
    <n v="80"/>
    <m/>
    <s v="AKUA"/>
    <x v="2"/>
    <n v="1126000"/>
    <n v="178"/>
    <d v="2012-08-15T00:00:00"/>
    <s v="2DA-AGO"/>
    <n v="1"/>
    <s v="LIBERADO"/>
    <s v="SANTANDER"/>
    <d v="2012-06-01T00:00:00"/>
    <n v="563000"/>
    <n v="112600"/>
    <n v="0"/>
    <n v="112600"/>
    <n v="0"/>
    <s v="20%"/>
    <n v="0.8"/>
    <d v="2012-06-23T00:00:00"/>
    <d v="2012-06-23T00:00:00"/>
    <d v="2012-06-23T00:00:00"/>
    <d v="2012-03-30T00:00:00"/>
    <s v="MAYOR A 2 MESES"/>
    <s v="CAROLINA AUZETA PRADO"/>
    <m/>
    <m/>
    <m/>
    <m/>
    <m/>
    <m/>
    <n v="3216543"/>
    <n v="665654"/>
    <m/>
    <s v="SEM 13"/>
    <s v="MAR"/>
    <n v="32000"/>
    <s v="ENTRE 25 Y 35 MIL"/>
    <s v="EXPO"/>
    <s v="APARTADO"/>
    <s v="ALIA2"/>
    <s v="AMG"/>
    <d v="2012-03-30T00:00:00"/>
    <x v="2"/>
    <d v="2012-04-05T00:00:00"/>
    <d v="2012-04-20T00:00:00"/>
    <d v="2012-04-20T00:00:00"/>
    <m/>
    <d v="2012-05-05T00:00:00"/>
    <d v="2012-05-15T00:00:00"/>
    <m/>
    <n v="58"/>
    <d v="2012-05-30T00:00:00"/>
    <s v="PAGADA"/>
    <s v="PAGADA"/>
    <s v="PAGADA"/>
    <n v="0.01"/>
    <n v="3753.3333333333335"/>
    <n v="3753.3333333333335"/>
    <n v="3753.3333333333335"/>
    <d v="2012-04-06T00:00:00"/>
    <d v="2012-04-30T00:00:00"/>
    <d v="2012-05-15T00:00:00"/>
    <m/>
    <s v="1ERA-ABR-2012"/>
    <s v="2DA-ABR-2012"/>
    <s v="2DA-MAY-2012"/>
    <s v="ND"/>
    <s v="SEM 13"/>
    <s v="MAR"/>
    <s v="SEM 18"/>
    <s v="MAY"/>
    <s v="SEM 22"/>
    <s v="MAY"/>
    <s v="1RA-MAY"/>
    <s v="MAYOR A 2 MESES"/>
    <s v="MAYOR A 2 MESES"/>
    <s v="DE 36 A 45 DIAS"/>
    <s v="DE 36 A 45 DIAS"/>
    <s v="DE 36 A 45 DIAS"/>
    <n v="30000"/>
    <n v="50000"/>
    <n v="75000"/>
    <m/>
    <m/>
    <m/>
    <m/>
    <m/>
    <m/>
    <m/>
    <m/>
    <x v="1"/>
    <x v="1"/>
    <x v="0"/>
    <x v="0"/>
    <x v="0"/>
    <x v="0"/>
    <x v="0"/>
    <x v="0"/>
    <x v="0"/>
    <x v="0"/>
    <n v="0"/>
    <n v="125000"/>
    <n v="0"/>
    <d v="2012-04-15T00:00:00"/>
    <d v="2012-05-01T00:00:00"/>
    <m/>
    <m/>
    <m/>
    <m/>
    <m/>
    <m/>
    <m/>
    <m/>
    <s v="SEM 16"/>
    <s v="SEM 18"/>
    <s v="NA"/>
    <s v="NA"/>
    <s v="NA"/>
    <s v="NA"/>
    <s v="NA"/>
    <s v="NA"/>
    <s v="NA"/>
    <s v="NA"/>
    <x v="1"/>
    <x v="2"/>
    <x v="0"/>
    <x v="0"/>
    <x v="0"/>
    <x v="0"/>
    <x v="0"/>
    <x v="0"/>
    <x v="0"/>
    <x v="0"/>
    <n v="2012"/>
    <n v="2012"/>
    <s v=""/>
    <s v=""/>
    <s v=""/>
    <s v=""/>
    <s v=""/>
    <s v=""/>
    <s v=""/>
    <s v=""/>
    <n v="971000"/>
  </r>
  <r>
    <n v="140"/>
    <s v="PTA NORTE "/>
    <s v="020903"/>
    <n v="2"/>
    <n v="9"/>
    <n v="3"/>
    <s v="ESTRELLA NORTE"/>
    <m/>
    <s v="BLOQUEADO"/>
    <n v="80"/>
    <m/>
    <s v="AKUA"/>
    <x v="2"/>
    <n v="1126000"/>
    <n v="179"/>
    <d v="2012-08-15T00:00:00"/>
    <s v="2DA-AGO"/>
    <n v="0.8"/>
    <s v="LIBERADO"/>
    <s v="SANTANDER"/>
    <d v="2012-06-01T00:00:00"/>
    <n v="563000"/>
    <n v="444770"/>
    <n v="0"/>
    <n v="444770"/>
    <n v="0"/>
    <s v="80%"/>
    <n v="0.19999999999999996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41"/>
    <s v="PTA NORTE "/>
    <s v="020904"/>
    <n v="2"/>
    <n v="9"/>
    <n v="4"/>
    <s v="ESTRELLA NORTE"/>
    <m/>
    <s v="BLOQUEADO"/>
    <n v="80"/>
    <m/>
    <s v="MARINE"/>
    <x v="2"/>
    <n v="1135000"/>
    <n v="180"/>
    <d v="2012-08-15T00:00:00"/>
    <s v="2DA-AGO"/>
    <n v="0.8"/>
    <s v="LIBERADO"/>
    <s v="SANTANDER"/>
    <d v="2012-06-01T00:00:00"/>
    <n v="567500"/>
    <n v="448325"/>
    <n v="0"/>
    <n v="448325"/>
    <n v="0"/>
    <s v="80%"/>
    <n v="0.19999999999999996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42"/>
    <s v="PTA NORTE "/>
    <s v="020905"/>
    <n v="2"/>
    <n v="9"/>
    <n v="5"/>
    <s v="ESTRELLA NORTE"/>
    <m/>
    <s v="CON CLIENTE"/>
    <n v="80"/>
    <m/>
    <s v="AKUA"/>
    <x v="2"/>
    <n v="1126000"/>
    <n v="181"/>
    <d v="2012-08-15T00:00:00"/>
    <s v="2DA-AGO"/>
    <n v="0.8"/>
    <s v="LIBERADO"/>
    <s v="SANTANDER"/>
    <d v="2012-06-01T00:00:00"/>
    <n v="563000"/>
    <n v="444770"/>
    <n v="0"/>
    <n v="444770"/>
    <n v="0"/>
    <s v="80%"/>
    <n v="0.19999999999999996"/>
    <d v="2012-07-28T00:00:00"/>
    <d v="2012-07-28T00:00:00"/>
    <d v="2012-07-28T00:00:00"/>
    <d v="2012-04-20T00:00:00"/>
    <s v="MAYOR A 2 MESES"/>
    <s v="JAVIER SANCHEZ LEDEZMA"/>
    <m/>
    <m/>
    <m/>
    <m/>
    <m/>
    <m/>
    <n v="32516351"/>
    <n v="651"/>
    <n v="351"/>
    <s v="SEM 16"/>
    <s v="ABR"/>
    <n v="7000"/>
    <s v="HASTA 12 MIL"/>
    <s v="ACTIVACION"/>
    <s v="APARTADO"/>
    <s v="OTROS"/>
    <s v="AMG"/>
    <d v="2012-04-30T00:00:00"/>
    <x v="1"/>
    <d v="2012-05-05T00:00:00"/>
    <d v="2012-08-20T00:00:00"/>
    <d v="2012-05-05T00:00:00"/>
    <m/>
    <m/>
    <m/>
    <m/>
    <n v="86"/>
    <m/>
    <s v="PAGADA"/>
    <s v="PENDIENTE"/>
    <s v="PENDIENTE"/>
    <n v="0.01"/>
    <n v="3753.3333333333335"/>
    <n v="3753.3333333333335"/>
    <n v="3753.3333333333335"/>
    <d v="2012-05-15T00:00:00"/>
    <m/>
    <m/>
    <m/>
    <s v="2DA-MAY-2012"/>
    <s v="ND"/>
    <s v="ND"/>
    <s v="ND"/>
    <s v="SEM 18"/>
    <s v="ABR"/>
    <s v="NA"/>
    <s v=""/>
    <s v="NA"/>
    <s v=""/>
    <s v="2DA-AGO"/>
    <s v="MAYOR A 2 MESES"/>
    <s v="NA"/>
    <s v="HASTA 5 DIAS"/>
    <s v="HASTA 5 DIAS"/>
    <s v="HASTA 5 DIAS"/>
    <n v="30000"/>
    <n v="10000"/>
    <n v="5000"/>
    <n v="50000"/>
    <n v="10000"/>
    <n v="50000"/>
    <m/>
    <m/>
    <m/>
    <m/>
    <m/>
    <x v="1"/>
    <x v="1"/>
    <x v="2"/>
    <x v="2"/>
    <x v="1"/>
    <x v="0"/>
    <x v="0"/>
    <x v="0"/>
    <x v="0"/>
    <x v="0"/>
    <n v="50000"/>
    <n v="75000"/>
    <n v="0"/>
    <d v="2012-05-15T00:00:00"/>
    <d v="2012-05-30T00:00:00"/>
    <d v="2012-06-14T00:00:00"/>
    <d v="2012-06-29T00:00:00"/>
    <d v="2012-07-29T00:00:00"/>
    <m/>
    <m/>
    <m/>
    <m/>
    <m/>
    <s v="SEM 20"/>
    <s v="SEM 22"/>
    <s v="SEM 24"/>
    <s v="SEM 26"/>
    <s v="SEM 31"/>
    <s v="NA"/>
    <s v="NA"/>
    <s v="NA"/>
    <s v="NA"/>
    <s v="NA"/>
    <x v="2"/>
    <x v="2"/>
    <x v="2"/>
    <x v="2"/>
    <x v="1"/>
    <x v="0"/>
    <x v="0"/>
    <x v="0"/>
    <x v="0"/>
    <x v="0"/>
    <n v="2012"/>
    <n v="2012"/>
    <n v="2012"/>
    <n v="2012"/>
    <n v="2012"/>
    <s v=""/>
    <s v=""/>
    <s v=""/>
    <s v=""/>
    <s v=""/>
    <n v="971000"/>
  </r>
  <r>
    <n v="143"/>
    <s v="PTA NORTE "/>
    <s v="020906"/>
    <n v="2"/>
    <n v="9"/>
    <n v="6"/>
    <s v="ESTRELLA NORTE"/>
    <m/>
    <s v="CON CLIENTE"/>
    <n v="80"/>
    <m/>
    <s v="AKUA"/>
    <x v="2"/>
    <n v="1126000"/>
    <n v="182"/>
    <d v="2012-08-15T00:00:00"/>
    <s v="2DA-AGO"/>
    <n v="0.8"/>
    <s v="LIBERADO"/>
    <s v="SANTANDER"/>
    <d v="2012-06-01T00:00:00"/>
    <n v="563000"/>
    <n v="444770"/>
    <n v="0"/>
    <n v="444770"/>
    <n v="0"/>
    <s v="80%"/>
    <n v="0.19999999999999996"/>
    <d v="2012-07-23T00:00:00"/>
    <d v="2012-07-23T00:00:00"/>
    <d v="2012-07-23T00:00:00"/>
    <d v="2012-04-20T00:00:00"/>
    <s v="MAYOR A 2 MESES"/>
    <s v="ANA PEREZ DEL TORO"/>
    <m/>
    <m/>
    <m/>
    <m/>
    <m/>
    <m/>
    <n v="36514654"/>
    <n v="651"/>
    <n v="321"/>
    <s v="SEM 16"/>
    <s v="ABR"/>
    <n v="8000"/>
    <s v="HASTA 12 MIL"/>
    <s v="PUBLICIDAD"/>
    <s v="APARTADO"/>
    <s v="BANCOS"/>
    <s v="AMG"/>
    <d v="2012-04-20T00:00:00"/>
    <x v="7"/>
    <d v="2012-04-30T00:00:00"/>
    <d v="2012-08-20T00:00:00"/>
    <d v="2012-05-15T00:00:00"/>
    <m/>
    <m/>
    <m/>
    <m/>
    <n v="86"/>
    <m/>
    <s v="PAGADA"/>
    <s v="PAGADA"/>
    <s v="PENDIENTE"/>
    <n v="0.01"/>
    <n v="3753.3333333333335"/>
    <n v="3753.3333333333335"/>
    <n v="3753.3333333333335"/>
    <d v="2012-05-15T00:00:00"/>
    <d v="2012-05-30T00:00:00"/>
    <m/>
    <m/>
    <s v="2DA-MAY-2012"/>
    <s v="2DA-MAY-2012"/>
    <s v="ND"/>
    <s v="ND"/>
    <s v="SEM 16"/>
    <s v="ABR"/>
    <s v="NA"/>
    <s v=""/>
    <s v="NA"/>
    <s v=""/>
    <s v="2DA-AGO"/>
    <s v="MAYOR A 2 MESES"/>
    <s v="NA"/>
    <s v="DE 6 A 10 DIAS"/>
    <s v="DE 6 A 10 DIAS"/>
    <s v="DE 6 A 10 DIAS"/>
    <n v="30000"/>
    <n v="5000"/>
    <n v="45000"/>
    <n v="15000"/>
    <n v="10000"/>
    <m/>
    <m/>
    <m/>
    <m/>
    <m/>
    <m/>
    <x v="1"/>
    <x v="1"/>
    <x v="2"/>
    <x v="1"/>
    <x v="0"/>
    <x v="0"/>
    <x v="0"/>
    <x v="0"/>
    <x v="0"/>
    <x v="0"/>
    <n v="0"/>
    <n v="65000"/>
    <n v="10000"/>
    <d v="2012-05-05T00:00:00"/>
    <d v="2012-05-20T00:00:00"/>
    <d v="2012-06-04T00:00:00"/>
    <d v="2012-06-19T00:00:00"/>
    <m/>
    <m/>
    <m/>
    <m/>
    <m/>
    <m/>
    <s v="SEM 18"/>
    <s v="SEM 21"/>
    <s v="SEM 23"/>
    <s v="SEM 25"/>
    <s v="NA"/>
    <s v="NA"/>
    <s v="NA"/>
    <s v="NA"/>
    <s v="NA"/>
    <s v="NA"/>
    <x v="2"/>
    <x v="2"/>
    <x v="2"/>
    <x v="2"/>
    <x v="0"/>
    <x v="0"/>
    <x v="0"/>
    <x v="0"/>
    <x v="0"/>
    <x v="0"/>
    <n v="2012"/>
    <n v="2012"/>
    <n v="2012"/>
    <n v="2012"/>
    <s v=""/>
    <s v=""/>
    <s v=""/>
    <s v=""/>
    <s v=""/>
    <s v=""/>
    <n v="1021000"/>
  </r>
  <r>
    <n v="144"/>
    <s v="PTA NORTE "/>
    <s v="020907"/>
    <n v="2"/>
    <n v="9"/>
    <n v="7"/>
    <s v="ESTRELLA NORTE"/>
    <m/>
    <s v="CON CLIENTE"/>
    <n v="80"/>
    <m/>
    <s v="MARINE"/>
    <x v="2"/>
    <n v="1135000"/>
    <n v="183"/>
    <d v="2012-08-15T00:00:00"/>
    <s v="2DA-AGO"/>
    <n v="0.8"/>
    <s v="LIBERADO"/>
    <s v="SANTANDER"/>
    <d v="2012-06-01T00:00:00"/>
    <n v="567500"/>
    <n v="448325"/>
    <n v="0"/>
    <n v="448325"/>
    <n v="0"/>
    <s v="80%"/>
    <n v="0.19999999999999996"/>
    <d v="2012-07-18T00:00:00"/>
    <d v="2012-07-18T00:00:00"/>
    <d v="2012-07-18T00:00:00"/>
    <d v="2012-05-01T00:00:00"/>
    <s v="MAYOR A 2 MESES"/>
    <s v="LUIS SMITH CARMONA"/>
    <m/>
    <m/>
    <m/>
    <m/>
    <m/>
    <m/>
    <n v="6546546"/>
    <n v="651361361"/>
    <n v="321"/>
    <s v="SEM 18"/>
    <s v="MAY"/>
    <n v="15000"/>
    <s v="ENTRE 12 Y 18 MIL"/>
    <s v="PUBLICIDAD"/>
    <s v="APARTADO"/>
    <s v="FOVISSSTE"/>
    <s v="AMG"/>
    <d v="2012-05-05T00:00:00"/>
    <x v="7"/>
    <d v="2012-05-10T00:00:00"/>
    <d v="2012-08-20T00:00:00"/>
    <d v="2012-05-10T00:00:00"/>
    <m/>
    <m/>
    <m/>
    <m/>
    <n v="130"/>
    <m/>
    <s v="PAGADA"/>
    <s v="PAGADA"/>
    <s v="PENDIENTE"/>
    <n v="0.01"/>
    <n v="3783.3333333333335"/>
    <n v="3783.3333333333335"/>
    <n v="3783.3333333333335"/>
    <d v="2012-05-15T00:00:00"/>
    <d v="2012-05-15T00:00:00"/>
    <m/>
    <m/>
    <s v="2DA-MAY-2012"/>
    <s v="2DA-MAY-2012"/>
    <s v="ND"/>
    <s v="ND"/>
    <s v="SEM 18"/>
    <s v="MAY"/>
    <s v="NA"/>
    <s v=""/>
    <s v="NA"/>
    <s v=""/>
    <s v="2DA-AGO"/>
    <s v="MAYOR A 2 MESES"/>
    <s v="NA"/>
    <s v="DE 11 A 15 DIAS"/>
    <s v="DE 11 A 15 DIAS"/>
    <s v="DE 11 A 15 DIAS"/>
    <n v="30000"/>
    <n v="110000"/>
    <n v="10000"/>
    <m/>
    <m/>
    <m/>
    <m/>
    <m/>
    <m/>
    <m/>
    <m/>
    <x v="1"/>
    <x v="2"/>
    <x v="0"/>
    <x v="0"/>
    <x v="0"/>
    <x v="0"/>
    <x v="0"/>
    <x v="0"/>
    <x v="0"/>
    <x v="0"/>
    <n v="0"/>
    <n v="110000"/>
    <n v="10000"/>
    <d v="2012-05-20T00:00:00"/>
    <d v="2012-06-04T00:00:00"/>
    <m/>
    <m/>
    <m/>
    <m/>
    <m/>
    <m/>
    <m/>
    <m/>
    <s v="SEM 21"/>
    <s v="SEM 23"/>
    <s v="NA"/>
    <s v="NA"/>
    <s v="NA"/>
    <s v="NA"/>
    <s v="NA"/>
    <s v="NA"/>
    <s v="NA"/>
    <s v="NA"/>
    <x v="2"/>
    <x v="3"/>
    <x v="0"/>
    <x v="0"/>
    <x v="0"/>
    <x v="0"/>
    <x v="0"/>
    <x v="0"/>
    <x v="0"/>
    <x v="0"/>
    <n v="2012"/>
    <n v="2012"/>
    <s v=""/>
    <s v=""/>
    <s v=""/>
    <s v=""/>
    <s v=""/>
    <s v=""/>
    <s v=""/>
    <s v=""/>
    <n v="985000"/>
  </r>
  <r>
    <n v="145"/>
    <s v="PTA NORTE "/>
    <s v="020908"/>
    <n v="2"/>
    <n v="9"/>
    <n v="8"/>
    <s v="ESTRELLA NORTE"/>
    <m/>
    <s v="CON CLIENTE"/>
    <n v="80"/>
    <m/>
    <s v="AKUA"/>
    <x v="2"/>
    <n v="1126000"/>
    <n v="184"/>
    <d v="2012-08-15T00:00:00"/>
    <s v="2DA-AGO"/>
    <n v="0.9"/>
    <s v="LIBERADO"/>
    <s v="SANTANDER"/>
    <d v="2012-06-01T00:00:00"/>
    <n v="563000"/>
    <n v="444770"/>
    <n v="0"/>
    <n v="444770"/>
    <n v="0"/>
    <s v="80%"/>
    <n v="0.19999999999999996"/>
    <d v="2012-07-13T00:00:00"/>
    <d v="2012-07-13T00:00:00"/>
    <d v="2012-07-13T00:00:00"/>
    <d v="2012-05-01T00:00:00"/>
    <s v="MAYOR A 2 MESES"/>
    <s v="JUAN VELASCO ELIZONDO"/>
    <m/>
    <m/>
    <m/>
    <m/>
    <m/>
    <m/>
    <n v="3654684"/>
    <n v="651"/>
    <n v="321"/>
    <s v="SEM 18"/>
    <s v="MAY"/>
    <n v="21000"/>
    <s v="ENTRE 18 Y 25 MIL"/>
    <s v="RECOMENDADO"/>
    <s v="APARTADO"/>
    <s v="BANCOS"/>
    <s v="AMG"/>
    <d v="2012-05-03T00:00:00"/>
    <x v="1"/>
    <d v="2012-05-10T00:00:00"/>
    <d v="2012-08-20T00:00:00"/>
    <d v="2012-05-15T00:00:00"/>
    <m/>
    <m/>
    <m/>
    <m/>
    <n v="130"/>
    <m/>
    <s v="PAGADA"/>
    <s v="PENDIENTE"/>
    <s v="PENDIENTE"/>
    <n v="0.01"/>
    <n v="3753.3333333333335"/>
    <n v="3753.3333333333335"/>
    <n v="3753.3333333333335"/>
    <d v="2012-05-15T00:00:00"/>
    <m/>
    <m/>
    <m/>
    <s v="2DA-MAY-2012"/>
    <s v="ND"/>
    <s v="ND"/>
    <s v="ND"/>
    <s v="SEM 18"/>
    <s v="MAY"/>
    <s v="NA"/>
    <s v=""/>
    <s v="NA"/>
    <s v=""/>
    <s v="2DA-AGO"/>
    <s v="MAYOR A 2 MESES"/>
    <s v="NA"/>
    <s v="DE 16 A 20 DIAS"/>
    <s v="DE 16 A 20 DIAS"/>
    <s v="DE 16 A 20 DIAS"/>
    <n v="5000"/>
    <n v="10000"/>
    <n v="50000"/>
    <n v="100000"/>
    <n v="5000"/>
    <n v="50000"/>
    <n v="10000"/>
    <m/>
    <m/>
    <m/>
    <m/>
    <x v="1"/>
    <x v="1"/>
    <x v="2"/>
    <x v="2"/>
    <x v="1"/>
    <x v="1"/>
    <x v="0"/>
    <x v="0"/>
    <x v="0"/>
    <x v="0"/>
    <n v="60000"/>
    <n v="165000"/>
    <n v="0"/>
    <d v="2012-05-18T00:00:00"/>
    <d v="2012-06-02T00:00:00"/>
    <d v="2012-06-17T00:00:00"/>
    <d v="2012-07-02T00:00:00"/>
    <d v="2012-07-22T00:00:00"/>
    <d v="2012-07-30T00:00:00"/>
    <m/>
    <m/>
    <m/>
    <m/>
    <s v="SEM 20"/>
    <s v="SEM 22"/>
    <s v="SEM 25"/>
    <s v="SEM 27"/>
    <s v="SEM 30"/>
    <s v="SEM 31"/>
    <s v="NA"/>
    <s v="NA"/>
    <s v="NA"/>
    <s v="NA"/>
    <x v="2"/>
    <x v="3"/>
    <x v="2"/>
    <x v="3"/>
    <x v="1"/>
    <x v="1"/>
    <x v="0"/>
    <x v="0"/>
    <x v="0"/>
    <x v="0"/>
    <n v="2012"/>
    <n v="2012"/>
    <n v="2012"/>
    <n v="2012"/>
    <n v="2012"/>
    <n v="2012"/>
    <s v=""/>
    <s v=""/>
    <s v=""/>
    <s v=""/>
    <n v="896000"/>
  </r>
  <r>
    <n v="146"/>
    <s v="PTA NORTE "/>
    <s v="020909"/>
    <n v="2"/>
    <n v="9"/>
    <n v="9"/>
    <s v="ESTRELLA NORTE"/>
    <m/>
    <s v="EN OBRA"/>
    <n v="80"/>
    <m/>
    <s v="MARINE"/>
    <x v="1"/>
    <n v="1135000"/>
    <n v="185"/>
    <d v="2012-10-30T00:00:00"/>
    <s v="2DA-OCT"/>
    <n v="0.1"/>
    <s v="NO LIBERADO"/>
    <s v="BANCOMER"/>
    <m/>
    <n v="567500"/>
    <n v="448325"/>
    <n v="119175"/>
    <n v="0"/>
    <n v="448325"/>
    <s v="80%"/>
    <n v="0.19999999999999996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47"/>
    <s v="PTA NORTE "/>
    <s v="020910"/>
    <n v="2"/>
    <n v="9"/>
    <n v="10"/>
    <s v="ESTRELLA NORTE"/>
    <m/>
    <s v="EN OBRA"/>
    <n v="80"/>
    <m/>
    <s v="AKUA"/>
    <x v="1"/>
    <n v="1126000"/>
    <n v="186"/>
    <d v="2012-10-30T00:00:00"/>
    <s v="2DA-OCT"/>
    <n v="0.1"/>
    <s v="NO LIBERADO"/>
    <s v="BANCOMER"/>
    <m/>
    <n v="563000"/>
    <n v="444770"/>
    <n v="118230"/>
    <n v="0"/>
    <n v="444770"/>
    <s v="80%"/>
    <n v="0.19999999999999996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48"/>
    <s v="PTA NORTE "/>
    <s v="020911"/>
    <n v="2"/>
    <n v="9"/>
    <n v="11"/>
    <s v="ESTRELLA NORTE"/>
    <m/>
    <s v="EN OBRA"/>
    <n v="80"/>
    <m/>
    <s v="AKUA"/>
    <x v="1"/>
    <n v="1126000"/>
    <n v="187"/>
    <d v="2012-10-30T00:00:00"/>
    <s v="2DA-OCT"/>
    <n v="0.1"/>
    <s v="NO LIBERADO"/>
    <s v="BANCOMER"/>
    <m/>
    <n v="563000"/>
    <n v="444770"/>
    <n v="118230"/>
    <n v="0"/>
    <n v="444770"/>
    <s v="80%"/>
    <n v="0.19999999999999996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49"/>
    <s v="PTA NORTE "/>
    <s v="020912"/>
    <n v="2"/>
    <n v="9"/>
    <n v="12"/>
    <s v="ESTRELLA NORTE"/>
    <m/>
    <s v="EN OBRA"/>
    <n v="80"/>
    <m/>
    <s v="MARINE"/>
    <x v="1"/>
    <n v="1135000"/>
    <n v="188"/>
    <d v="2012-10-30T00:00:00"/>
    <s v="2DA-OCT"/>
    <n v="0.1"/>
    <s v="NO LIBERADO"/>
    <s v="BANCOMER"/>
    <m/>
    <n v="567500"/>
    <n v="448325"/>
    <n v="119175"/>
    <n v="0"/>
    <n v="448325"/>
    <s v="80%"/>
    <n v="0.19999999999999996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50"/>
    <s v="PTA NORTE "/>
    <s v="020913"/>
    <n v="2"/>
    <n v="9"/>
    <n v="13"/>
    <s v="ESTRELLA NORTE"/>
    <m/>
    <s v="CON CLIENTE"/>
    <n v="80"/>
    <m/>
    <s v="AKUA"/>
    <x v="2"/>
    <n v="1126000"/>
    <n v="189"/>
    <d v="2012-08-15T00:00:00"/>
    <s v="2DA-AGO"/>
    <n v="0.9"/>
    <s v="LIBERADO"/>
    <s v="SANTANDER"/>
    <d v="2012-06-01T00:00:00"/>
    <n v="563000"/>
    <n v="444770"/>
    <n v="0"/>
    <n v="444770"/>
    <n v="0"/>
    <s v="80%"/>
    <n v="0.19999999999999996"/>
    <d v="2012-06-23T00:00:00"/>
    <d v="2012-06-23T00:00:00"/>
    <d v="2012-06-23T00:00:00"/>
    <d v="2012-05-01T00:00:00"/>
    <s v="MAYOR A 2 MESES"/>
    <s v="ALBERTO ARIAS GARCIA"/>
    <m/>
    <m/>
    <m/>
    <m/>
    <m/>
    <m/>
    <n v="654654"/>
    <n v="651"/>
    <n v="32132"/>
    <s v="SEM 18"/>
    <s v="MAY"/>
    <n v="44000"/>
    <s v="ENTRE 35 Y 45 MIL"/>
    <s v="VENDEDOR"/>
    <s v="APARTADO"/>
    <s v="IPEJAL"/>
    <s v="SNM"/>
    <d v="2012-05-01T00:00:00"/>
    <x v="7"/>
    <d v="2012-05-05T00:00:00"/>
    <d v="2012-08-20T00:00:00"/>
    <d v="2012-07-15T00:00:00"/>
    <m/>
    <m/>
    <m/>
    <m/>
    <n v="130"/>
    <m/>
    <s v="PAGADA"/>
    <s v="PAGADA"/>
    <s v="PENDIENTE"/>
    <n v="0.01"/>
    <n v="3753.3333333333335"/>
    <n v="3753.3333333333335"/>
    <n v="3753.3333333333335"/>
    <d v="2012-05-15T00:00:00"/>
    <d v="2012-07-30T00:00:00"/>
    <m/>
    <m/>
    <s v="2DA-MAY-2012"/>
    <s v="2DA-JUL-2012"/>
    <s v="ND"/>
    <s v="ND"/>
    <s v="SEM 18"/>
    <s v="MAY"/>
    <s v="NA"/>
    <s v=""/>
    <s v="NA"/>
    <s v=""/>
    <s v="2DA-AGO"/>
    <s v="MAYOR A 2 MESES"/>
    <s v="NA"/>
    <s v="DE 36 A 45 DIAS"/>
    <s v="DE 36 A 45 DIAS"/>
    <s v="DE 36 A 45 DIAS"/>
    <n v="5000"/>
    <n v="20000"/>
    <n v="10000"/>
    <m/>
    <m/>
    <m/>
    <m/>
    <m/>
    <m/>
    <m/>
    <m/>
    <x v="1"/>
    <x v="1"/>
    <x v="0"/>
    <x v="0"/>
    <x v="0"/>
    <x v="0"/>
    <x v="0"/>
    <x v="0"/>
    <x v="0"/>
    <x v="0"/>
    <n v="0"/>
    <n v="30000"/>
    <n v="0"/>
    <d v="2012-05-16T00:00:00"/>
    <d v="2012-05-31T00:00:00"/>
    <m/>
    <m/>
    <m/>
    <m/>
    <m/>
    <m/>
    <m/>
    <m/>
    <s v="SEM 20"/>
    <s v="SEM 22"/>
    <s v="NA"/>
    <s v="NA"/>
    <s v="NA"/>
    <s v="NA"/>
    <s v="NA"/>
    <s v="NA"/>
    <s v="NA"/>
    <s v="NA"/>
    <x v="2"/>
    <x v="2"/>
    <x v="0"/>
    <x v="0"/>
    <x v="0"/>
    <x v="0"/>
    <x v="0"/>
    <x v="0"/>
    <x v="0"/>
    <x v="0"/>
    <n v="2012"/>
    <n v="2012"/>
    <s v=""/>
    <s v=""/>
    <s v=""/>
    <s v=""/>
    <s v=""/>
    <s v=""/>
    <s v=""/>
    <s v=""/>
    <n v="1091000"/>
  </r>
  <r>
    <n v="151"/>
    <s v="PTA NORTE "/>
    <s v="020914"/>
    <n v="2"/>
    <n v="9"/>
    <n v="14"/>
    <s v="ESTRELLA NORTE"/>
    <m/>
    <s v="CON CLIENTE"/>
    <n v="80"/>
    <m/>
    <s v="AKUA"/>
    <x v="2"/>
    <n v="1126000"/>
    <n v="190"/>
    <d v="2012-08-15T00:00:00"/>
    <s v="2DA-AGO"/>
    <n v="0.9"/>
    <s v="LIBERADO"/>
    <s v="SANTANDER"/>
    <d v="2012-06-01T00:00:00"/>
    <n v="563000"/>
    <n v="444770"/>
    <n v="0"/>
    <n v="444770"/>
    <n v="0"/>
    <s v="80%"/>
    <n v="0.19999999999999996"/>
    <d v="2012-06-17T00:00:00"/>
    <d v="2012-06-17T00:00:00"/>
    <d v="2012-06-17T00:00:00"/>
    <d v="2012-06-14T00:00:00"/>
    <s v="7MA SEM"/>
    <s v="ESTEFANIA DEL TORO ENRIQUEZ"/>
    <m/>
    <m/>
    <m/>
    <m/>
    <m/>
    <m/>
    <n v="654654"/>
    <n v="361"/>
    <n v="1321"/>
    <s v="SEM 24"/>
    <s v="JUN"/>
    <n v="17000"/>
    <s v="ENTRE 12 Y 18 MIL"/>
    <s v="VENDEDOR"/>
    <s v="APARTADO"/>
    <s v="INFONAVIT"/>
    <s v="SNM"/>
    <d v="2012-06-30T00:00:00"/>
    <x v="8"/>
    <d v="2012-06-30T00:00:00"/>
    <d v="2012-08-20T00:00:00"/>
    <d v="2012-07-10T00:00:00"/>
    <m/>
    <m/>
    <m/>
    <m/>
    <n v="130"/>
    <m/>
    <s v="PAGADA"/>
    <s v="PAGADA"/>
    <s v="PENDIENTE"/>
    <n v="0.01"/>
    <n v="3753.3333333333335"/>
    <n v="3753.3333333333335"/>
    <n v="3753.3333333333335"/>
    <d v="2012-07-15T00:00:00"/>
    <d v="2012-07-15T00:00:00"/>
    <m/>
    <m/>
    <s v="2DA-JUL-2012"/>
    <s v="2DA-JUL-2012"/>
    <s v="ND"/>
    <s v="ND"/>
    <s v="SEM 26"/>
    <s v="JUN"/>
    <s v="NA"/>
    <s v=""/>
    <s v="NA"/>
    <s v=""/>
    <s v="2DA-AGO"/>
    <s v="5TA SEM"/>
    <s v="NA"/>
    <s v="DE 36 A 45 DIAS"/>
    <s v="DE 36 A 45 DIAS"/>
    <s v="DE 36 A 45 DIAS"/>
    <n v="30000"/>
    <n v="15000"/>
    <n v="12000"/>
    <m/>
    <m/>
    <m/>
    <m/>
    <m/>
    <m/>
    <m/>
    <m/>
    <x v="1"/>
    <x v="3"/>
    <x v="0"/>
    <x v="0"/>
    <x v="0"/>
    <x v="0"/>
    <x v="0"/>
    <x v="0"/>
    <x v="0"/>
    <x v="0"/>
    <n v="12000"/>
    <n v="15000"/>
    <n v="0"/>
    <d v="2012-07-15T00:00:00"/>
    <d v="2012-07-30T00:00:00"/>
    <m/>
    <m/>
    <m/>
    <m/>
    <m/>
    <m/>
    <m/>
    <m/>
    <s v="SEM 29"/>
    <s v="SEM 31"/>
    <s v="NA"/>
    <s v="NA"/>
    <s v="NA"/>
    <s v="NA"/>
    <s v="NA"/>
    <s v="NA"/>
    <s v="NA"/>
    <s v="NA"/>
    <x v="3"/>
    <x v="4"/>
    <x v="0"/>
    <x v="0"/>
    <x v="0"/>
    <x v="0"/>
    <x v="0"/>
    <x v="0"/>
    <x v="0"/>
    <x v="0"/>
    <n v="2012"/>
    <n v="2012"/>
    <s v=""/>
    <s v=""/>
    <s v=""/>
    <s v=""/>
    <s v=""/>
    <s v=""/>
    <s v=""/>
    <s v=""/>
    <n v="1069000"/>
  </r>
  <r>
    <n v="152"/>
    <s v="PTA NORTE "/>
    <s v="020915"/>
    <n v="2"/>
    <n v="9"/>
    <n v="15"/>
    <s v="ESTRELLA NORTE"/>
    <m/>
    <s v="CON CLIENTE"/>
    <n v="81.311000000000007"/>
    <m/>
    <s v="MARINE"/>
    <x v="2"/>
    <n v="1139981.8"/>
    <n v="191"/>
    <d v="2012-08-15T00:00:00"/>
    <s v="2DA-AGO"/>
    <n v="0.9"/>
    <s v="LIBERADO"/>
    <s v="SANTANDER"/>
    <d v="2012-06-01T00:00:00"/>
    <n v="569990.9"/>
    <n v="450292.81100000005"/>
    <n v="0"/>
    <n v="450292.81100000005"/>
    <n v="0"/>
    <s v="80%"/>
    <n v="0.19999999999999996"/>
    <d v="2012-06-12T00:00:00"/>
    <d v="2012-06-12T00:00:00"/>
    <d v="2012-06-12T00:00:00"/>
    <d v="2012-05-20T00:00:00"/>
    <s v="MAYOR A 2 MESES"/>
    <s v="ANDREA OLEA DE ANDA"/>
    <m/>
    <m/>
    <m/>
    <m/>
    <m/>
    <m/>
    <n v="6588464"/>
    <n v="321"/>
    <n v="312"/>
    <s v="SEM 21"/>
    <s v="MAY"/>
    <n v="23000"/>
    <s v="ENTRE 18 Y 25 MIL"/>
    <s v="VENDEDOR"/>
    <s v="APARTADO"/>
    <s v="ALIA2"/>
    <s v="SNM"/>
    <d v="2012-05-30T00:00:00"/>
    <x v="8"/>
    <d v="2012-06-01T00:00:00"/>
    <d v="2012-08-20T00:00:00"/>
    <d v="2012-06-15T00:00:00"/>
    <m/>
    <m/>
    <m/>
    <m/>
    <n v="130"/>
    <m/>
    <s v="PAGADA"/>
    <s v="PAGADA"/>
    <s v="PENDIENTE"/>
    <n v="0.01"/>
    <n v="3799.9393333333337"/>
    <n v="3799.9393333333337"/>
    <n v="3799.9393333333337"/>
    <d v="2012-06-15T00:00:00"/>
    <d v="2012-06-30T00:00:00"/>
    <m/>
    <m/>
    <s v="2DA-JUN-2012"/>
    <s v="2DA-JUN-2012"/>
    <s v="ND"/>
    <s v="ND"/>
    <s v="SEM 22"/>
    <s v="MAY"/>
    <s v="NA"/>
    <s v=""/>
    <s v="NA"/>
    <s v=""/>
    <s v="2DA-AGO"/>
    <s v="MAYOR A 2 MESES"/>
    <s v="NA"/>
    <s v="MAYOR A 45 DIAS"/>
    <s v="MAYOR A 45 DIAS"/>
    <s v="MAYOR A 45 DIAS"/>
    <n v="50000"/>
    <n v="10000"/>
    <n v="17000"/>
    <m/>
    <m/>
    <m/>
    <m/>
    <m/>
    <m/>
    <m/>
    <m/>
    <x v="2"/>
    <x v="2"/>
    <x v="0"/>
    <x v="0"/>
    <x v="0"/>
    <x v="0"/>
    <x v="0"/>
    <x v="0"/>
    <x v="0"/>
    <x v="0"/>
    <n v="0"/>
    <n v="0"/>
    <n v="27000"/>
    <d v="2012-06-14T00:00:00"/>
    <d v="2012-06-29T00:00:00"/>
    <m/>
    <m/>
    <m/>
    <m/>
    <m/>
    <m/>
    <m/>
    <m/>
    <s v="SEM 24"/>
    <s v="SEM 26"/>
    <s v="NA"/>
    <s v="NA"/>
    <s v="NA"/>
    <s v="NA"/>
    <s v="NA"/>
    <s v="NA"/>
    <s v="NA"/>
    <s v="NA"/>
    <x v="4"/>
    <x v="3"/>
    <x v="0"/>
    <x v="0"/>
    <x v="0"/>
    <x v="0"/>
    <x v="0"/>
    <x v="0"/>
    <x v="0"/>
    <x v="0"/>
    <n v="2012"/>
    <n v="2012"/>
    <s v=""/>
    <s v=""/>
    <s v=""/>
    <s v=""/>
    <s v=""/>
    <s v=""/>
    <s v=""/>
    <s v=""/>
    <n v="1062981.8"/>
  </r>
  <r>
    <n v="153"/>
    <s v="PTA NORTE "/>
    <s v="021001"/>
    <n v="2"/>
    <n v="10"/>
    <n v="1"/>
    <s v="ESTRELLA SUR"/>
    <m/>
    <s v="EN OBRA"/>
    <n v="81.188000000000002"/>
    <m/>
    <s v="MARINE"/>
    <x v="1"/>
    <n v="1139514.3999999999"/>
    <n v="192"/>
    <d v="2012-10-30T00:00:00"/>
    <s v="2DA-OCT"/>
    <n v="0.1"/>
    <s v="NO LIBERADO"/>
    <s v="BANCOMER"/>
    <m/>
    <n v="569757.19999999995"/>
    <n v="28487.86"/>
    <n v="541269.34"/>
    <n v="0"/>
    <n v="28487.86"/>
    <s v="5%"/>
    <n v="0.95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98.3813333333328"/>
    <n v="3798.3813333333328"/>
    <n v="3798.3813333333328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9514.3999999999"/>
  </r>
  <r>
    <n v="154"/>
    <s v="PTA NORTE "/>
    <s v="021002"/>
    <n v="2"/>
    <n v="10"/>
    <n v="2"/>
    <s v="ESTRELLA SUR"/>
    <m/>
    <s v="EN OBRA"/>
    <n v="80"/>
    <m/>
    <s v="AKUA"/>
    <x v="1"/>
    <n v="1126000"/>
    <n v="193"/>
    <d v="2012-10-30T00:00:00"/>
    <s v="2DA-OCT"/>
    <n v="0.1"/>
    <s v="NO LIBERADO"/>
    <s v="BANCOMER"/>
    <m/>
    <n v="563000"/>
    <n v="28150"/>
    <n v="534850"/>
    <n v="0"/>
    <n v="28150"/>
    <s v="5%"/>
    <n v="0.95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55"/>
    <s v="PTA NORTE "/>
    <s v="021003"/>
    <n v="2"/>
    <n v="10"/>
    <n v="3"/>
    <s v="ESTRELLA SUR"/>
    <m/>
    <s v="EN OBRA"/>
    <n v="80"/>
    <m/>
    <s v="AKUA"/>
    <x v="1"/>
    <n v="1126000"/>
    <n v="194"/>
    <d v="2012-10-30T00:00:00"/>
    <s v="2DA-OCT"/>
    <n v="0.1"/>
    <s v="NO LIBERADO"/>
    <s v="BANCOMER"/>
    <m/>
    <n v="563000"/>
    <n v="28150"/>
    <n v="534850"/>
    <n v="0"/>
    <n v="28150"/>
    <s v="5%"/>
    <n v="0.95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56"/>
    <s v="PTA NORTE "/>
    <s v="021004"/>
    <n v="2"/>
    <n v="10"/>
    <n v="4"/>
    <s v="ESTRELLA SUR"/>
    <m/>
    <s v="EN OBRA"/>
    <n v="80"/>
    <m/>
    <s v="MARINE"/>
    <x v="1"/>
    <n v="1135000"/>
    <n v="195"/>
    <d v="2012-10-30T00:00:00"/>
    <s v="2DA-OCT"/>
    <n v="0.1"/>
    <s v="NO LIBERADO"/>
    <s v="BANCOMER"/>
    <m/>
    <n v="567500"/>
    <n v="28375"/>
    <n v="539125"/>
    <n v="0"/>
    <n v="28375"/>
    <s v="5%"/>
    <n v="0.95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57"/>
    <s v="PTA NORTE "/>
    <s v="021005"/>
    <n v="2"/>
    <n v="10"/>
    <n v="5"/>
    <s v="ESTRELLA SUR"/>
    <m/>
    <s v="EN OBRA"/>
    <n v="80"/>
    <m/>
    <s v="AKUA"/>
    <x v="1"/>
    <n v="1126000"/>
    <n v="196"/>
    <d v="2012-10-30T00:00:00"/>
    <s v="2DA-OCT"/>
    <n v="0.1"/>
    <s v="NO LIBERADO"/>
    <s v="BANCOMER"/>
    <m/>
    <n v="563000"/>
    <n v="28150"/>
    <n v="534850"/>
    <n v="0"/>
    <n v="28150"/>
    <s v="5%"/>
    <n v="0.95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58"/>
    <s v="PTA NORTE "/>
    <s v="021006"/>
    <n v="2"/>
    <n v="10"/>
    <n v="6"/>
    <s v="ESTRELLA SUR"/>
    <m/>
    <s v="EN OBRA"/>
    <n v="80"/>
    <m/>
    <s v="AKUA"/>
    <x v="1"/>
    <n v="1126000"/>
    <n v="197"/>
    <d v="2012-10-30T00:00:00"/>
    <s v="2DA-OCT"/>
    <n v="0.1"/>
    <s v="NO LIBERADO"/>
    <s v="BANCOMER"/>
    <m/>
    <n v="563000"/>
    <n v="28150"/>
    <n v="534850"/>
    <n v="0"/>
    <n v="28150"/>
    <s v="5%"/>
    <n v="0.95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59"/>
    <s v="PTA NORTE "/>
    <s v="021007"/>
    <n v="2"/>
    <n v="10"/>
    <n v="7"/>
    <s v="TARRAGONA"/>
    <m/>
    <s v="EN OBRA"/>
    <n v="111.129"/>
    <m/>
    <s v="MARINE"/>
    <x v="1"/>
    <n v="1253290.2"/>
    <n v="198"/>
    <d v="2012-10-30T00:00:00"/>
    <s v="2DA-OCT"/>
    <n v="0.1"/>
    <s v="NO LIBERADO"/>
    <s v="BANCOMER"/>
    <m/>
    <n v="626645.1"/>
    <n v="31332.255000000001"/>
    <n v="595312.84499999997"/>
    <n v="0"/>
    <n v="31332.255000000001"/>
    <s v="5%"/>
    <n v="0.95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4177.634"/>
    <n v="4177.634"/>
    <n v="4177.634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53290.2"/>
  </r>
  <r>
    <n v="160"/>
    <s v="PTA NORTE "/>
    <s v="021008"/>
    <n v="2"/>
    <n v="10"/>
    <n v="8"/>
    <s v="TARRAGONA"/>
    <m/>
    <s v="EN OBRA"/>
    <n v="86.584999999999994"/>
    <m/>
    <s v="AKUA"/>
    <x v="1"/>
    <n v="1151023"/>
    <n v="199"/>
    <d v="2012-10-30T00:00:00"/>
    <s v="2DA-OCT"/>
    <n v="0.1"/>
    <s v="NO LIBERADO"/>
    <s v="BANCOMER"/>
    <m/>
    <n v="575511.5"/>
    <n v="28775.575000000001"/>
    <n v="546735.92500000005"/>
    <n v="0"/>
    <n v="28775.575000000001"/>
    <s v="5%"/>
    <n v="0.95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836.7433333333333"/>
    <n v="3836.7433333333333"/>
    <n v="3836.7433333333333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51023"/>
  </r>
  <r>
    <n v="161"/>
    <s v="PTA NORTE "/>
    <s v="021009"/>
    <n v="2"/>
    <n v="10"/>
    <n v="9"/>
    <s v="TARRAGONA"/>
    <m/>
    <s v="EN OBRA"/>
    <n v="80.855000000000004"/>
    <m/>
    <s v="AKUA"/>
    <x v="1"/>
    <n v="1129249"/>
    <n v="200"/>
    <d v="2012-10-30T00:00:00"/>
    <s v="2DA-OCT"/>
    <n v="0.1"/>
    <s v="NO LIBERADO"/>
    <s v="BANCOMER"/>
    <m/>
    <n v="564624.5"/>
    <n v="28231.225000000002"/>
    <n v="536393.27500000002"/>
    <n v="0"/>
    <n v="28231.225000000002"/>
    <s v="5%"/>
    <n v="0.95"/>
    <d v="2012-06-23T00:00:00"/>
    <d v="2012-06-23T00:00:00"/>
    <d v="2012-06-2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64.1633333333334"/>
    <n v="3764.1633333333334"/>
    <n v="3764.1633333333334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9249"/>
  </r>
  <r>
    <n v="162"/>
    <s v="PTA NORTE "/>
    <s v="021010"/>
    <n v="2"/>
    <n v="10"/>
    <n v="10"/>
    <s v="ESTRELLA SUR"/>
    <m/>
    <s v="EN OBRA"/>
    <n v="80.004999999999995"/>
    <m/>
    <s v="AKUA"/>
    <x v="1"/>
    <n v="1126019"/>
    <n v="201"/>
    <d v="2012-10-30T00:00:00"/>
    <s v="2DA-OCT"/>
    <n v="0.1"/>
    <s v="NO LIBERADO"/>
    <s v="BANCOMER"/>
    <m/>
    <n v="563009.5"/>
    <n v="28150.475000000002"/>
    <n v="534859.02500000002"/>
    <n v="0"/>
    <n v="28150.475000000002"/>
    <s v="5%"/>
    <n v="0.95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96666666667"/>
    <n v="3753.396666666667"/>
    <n v="3753.396666666667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19"/>
  </r>
  <r>
    <n v="163"/>
    <s v="PTA NORTE "/>
    <s v="021011"/>
    <n v="2"/>
    <n v="10"/>
    <n v="11"/>
    <s v="ESTRELLA SUR"/>
    <m/>
    <s v="EN OBRA"/>
    <n v="81.004999999999995"/>
    <m/>
    <s v="MARINE"/>
    <x v="1"/>
    <n v="1138819"/>
    <n v="202"/>
    <d v="2012-10-30T00:00:00"/>
    <s v="2DA-OCT"/>
    <n v="0.1"/>
    <s v="NO LIBERADO"/>
    <s v="BANCOMER"/>
    <m/>
    <n v="569409.5"/>
    <n v="28470.475000000002"/>
    <n v="540939.02500000002"/>
    <n v="0"/>
    <n v="28470.475000000002"/>
    <s v="5%"/>
    <n v="0.95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96.0633333333335"/>
    <n v="3796.0633333333335"/>
    <n v="3796.06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8819"/>
  </r>
  <r>
    <n v="164"/>
    <s v="PTA NORTE "/>
    <s v="030101"/>
    <n v="3"/>
    <n v="1"/>
    <n v="1"/>
    <s v="TARRAGONA"/>
    <m/>
    <s v="CON CLIENTE"/>
    <n v="287.90100000000001"/>
    <m/>
    <s v="MARINE"/>
    <x v="2"/>
    <n v="1925023.8"/>
    <n v="203"/>
    <d v="2012-08-15T00:00:00"/>
    <s v="2DA-AGO"/>
    <n v="0.9"/>
    <s v="LIBERADO"/>
    <s v="SANTANDER"/>
    <d v="2012-06-01T00:00:00"/>
    <n v="962511.9"/>
    <n v="48125.595000000001"/>
    <n v="0"/>
    <n v="48125.595000000001"/>
    <n v="0"/>
    <s v="5%"/>
    <n v="0.95"/>
    <d v="2012-07-28T00:00:00"/>
    <d v="2012-07-28T00:00:00"/>
    <d v="2012-07-28T00:00:00"/>
    <d v="2012-05-14T00:00:00"/>
    <s v="MAYOR A 2 MESES"/>
    <s v="GABRIELA ARAGON ORTIZ"/>
    <m/>
    <m/>
    <m/>
    <m/>
    <m/>
    <m/>
    <n v="68846"/>
    <n v="3213"/>
    <n v="321"/>
    <s v="SEM 20"/>
    <s v="MAY"/>
    <n v="12000"/>
    <s v="HASTA 12 MIL"/>
    <s v="BASE DE DATOS"/>
    <s v="APARTADO"/>
    <s v="COFINAVIT"/>
    <s v="SNM"/>
    <d v="2012-05-30T00:00:00"/>
    <x v="6"/>
    <d v="2012-06-10T00:00:00"/>
    <d v="2012-08-20T00:00:00"/>
    <d v="2012-06-20T00:00:00"/>
    <m/>
    <d v="2012-06-27T00:00:00"/>
    <m/>
    <m/>
    <n v="86"/>
    <m/>
    <s v="PAGADA"/>
    <s v="PAGADA"/>
    <s v="PAGADA"/>
    <n v="0.01"/>
    <n v="6416.7460000000001"/>
    <n v="6416.7460000000001"/>
    <n v="6416.7460000000001"/>
    <d v="2012-06-17T00:00:00"/>
    <d v="2012-06-30T00:00:00"/>
    <d v="2012-06-30T00:00:00"/>
    <m/>
    <s v="2DA-JUN-2012"/>
    <s v="2DA-JUN-2012"/>
    <s v="2DA-JUN-2012"/>
    <s v="ND"/>
    <s v="SEM 22"/>
    <s v="MAY"/>
    <s v="SEM 26"/>
    <s v="JUN"/>
    <s v="NA"/>
    <s v=""/>
    <s v="2DA-JUN"/>
    <s v="MAYOR A 2 MESES"/>
    <s v="5TA SEM"/>
    <s v="HASTA 5 DIAS"/>
    <s v="HASTA 5 DIAS"/>
    <s v="HASTA 5 DIAS"/>
    <n v="1000"/>
    <n v="20000"/>
    <n v="50000"/>
    <m/>
    <m/>
    <m/>
    <m/>
    <m/>
    <m/>
    <m/>
    <m/>
    <x v="1"/>
    <x v="1"/>
    <x v="0"/>
    <x v="0"/>
    <x v="0"/>
    <x v="0"/>
    <x v="0"/>
    <x v="0"/>
    <x v="0"/>
    <x v="0"/>
    <n v="0"/>
    <n v="70000"/>
    <n v="0"/>
    <d v="2012-06-14T00:00:00"/>
    <d v="2012-06-29T00:00:00"/>
    <m/>
    <m/>
    <m/>
    <m/>
    <m/>
    <m/>
    <m/>
    <m/>
    <s v="SEM 24"/>
    <s v="SEM 26"/>
    <s v="NA"/>
    <s v="NA"/>
    <s v="NA"/>
    <s v="NA"/>
    <s v="NA"/>
    <s v="NA"/>
    <s v="NA"/>
    <s v="NA"/>
    <x v="4"/>
    <x v="3"/>
    <x v="0"/>
    <x v="0"/>
    <x v="0"/>
    <x v="0"/>
    <x v="0"/>
    <x v="0"/>
    <x v="0"/>
    <x v="0"/>
    <n v="2012"/>
    <n v="2012"/>
    <s v=""/>
    <s v=""/>
    <s v=""/>
    <s v=""/>
    <s v=""/>
    <s v=""/>
    <s v=""/>
    <s v=""/>
    <n v="1854023.8"/>
  </r>
  <r>
    <n v="165"/>
    <s v="PTA NORTE "/>
    <s v="030102"/>
    <n v="3"/>
    <n v="1"/>
    <n v="2"/>
    <s v="TARRAGONA"/>
    <m/>
    <s v="CON CLIENTE"/>
    <n v="82.712999999999994"/>
    <m/>
    <s v="AKUA"/>
    <x v="2"/>
    <n v="1136309.3999999999"/>
    <n v="204"/>
    <d v="2012-08-15T00:00:00"/>
    <s v="2DA-AGO"/>
    <n v="0.9"/>
    <s v="LIBERADO"/>
    <s v="SANTANDER"/>
    <d v="2012-06-01T00:00:00"/>
    <n v="568154.69999999995"/>
    <n v="272714.25599999999"/>
    <n v="0"/>
    <n v="272714.25599999999"/>
    <n v="0"/>
    <s v="50%"/>
    <n v="0.5"/>
    <d v="2012-07-23T00:00:00"/>
    <d v="2012-07-23T00:00:00"/>
    <d v="2012-07-23T00:00:00"/>
    <d v="2012-03-30T00:00:00"/>
    <s v="MAYOR A 2 MESES"/>
    <s v="JAVIER DIAZ BECERRA"/>
    <m/>
    <m/>
    <m/>
    <m/>
    <m/>
    <m/>
    <n v="68846"/>
    <n v="21"/>
    <n v="84"/>
    <s v="SEM 13"/>
    <s v="MAR"/>
    <n v="12000"/>
    <s v="HASTA 12 MIL"/>
    <s v="BASE DE DATOS"/>
    <s v="APARTADO"/>
    <s v="COFINAVIT"/>
    <s v="AR"/>
    <d v="2012-04-15T00:00:00"/>
    <x v="8"/>
    <d v="2012-06-20T00:00:00"/>
    <d v="2012-08-20T00:00:00"/>
    <d v="2012-06-30T00:00:00"/>
    <m/>
    <m/>
    <m/>
    <m/>
    <n v="58"/>
    <m/>
    <s v="PAGADA"/>
    <s v="PAGADA"/>
    <s v="PENDIENTE"/>
    <n v="0.01"/>
    <n v="3787.6979999999999"/>
    <n v="3787.6979999999999"/>
    <n v="3787.6979999999999"/>
    <d v="2012-06-30T00:00:00"/>
    <d v="2012-07-15T00:00:00"/>
    <m/>
    <m/>
    <s v="2DA-JUN-2012"/>
    <s v="2DA-JUL-2012"/>
    <s v="ND"/>
    <s v="ND"/>
    <s v="SEM 16"/>
    <s v="ABR"/>
    <s v="NA"/>
    <s v=""/>
    <s v="NA"/>
    <s v=""/>
    <s v="2DA-AGO"/>
    <s v="MAYOR A 2 MESES"/>
    <s v="NA"/>
    <s v="DE 6 A 10 DIAS"/>
    <s v="DE 6 A 10 DIAS"/>
    <s v="DE 6 A 10 DIAS"/>
    <n v="3000"/>
    <n v="12000"/>
    <n v="500000"/>
    <m/>
    <m/>
    <m/>
    <m/>
    <m/>
    <m/>
    <m/>
    <m/>
    <x v="1"/>
    <x v="1"/>
    <x v="0"/>
    <x v="0"/>
    <x v="0"/>
    <x v="0"/>
    <x v="0"/>
    <x v="0"/>
    <x v="0"/>
    <x v="0"/>
    <n v="0"/>
    <n v="512000"/>
    <n v="0"/>
    <d v="2012-04-30T00:00:00"/>
    <d v="2012-05-15T00:00:00"/>
    <m/>
    <m/>
    <m/>
    <m/>
    <m/>
    <m/>
    <m/>
    <m/>
    <s v="SEM 18"/>
    <s v="SEM 20"/>
    <s v="NA"/>
    <s v="NA"/>
    <s v="NA"/>
    <s v="NA"/>
    <s v="NA"/>
    <s v="NA"/>
    <s v="NA"/>
    <s v="NA"/>
    <x v="1"/>
    <x v="2"/>
    <x v="0"/>
    <x v="0"/>
    <x v="0"/>
    <x v="0"/>
    <x v="0"/>
    <x v="0"/>
    <x v="0"/>
    <x v="0"/>
    <n v="2012"/>
    <n v="2012"/>
    <s v=""/>
    <s v=""/>
    <s v=""/>
    <s v=""/>
    <s v=""/>
    <s v=""/>
    <s v=""/>
    <s v=""/>
    <n v="621309.39999999991"/>
  </r>
  <r>
    <n v="166"/>
    <s v="PTA NORTE "/>
    <s v="030103"/>
    <n v="3"/>
    <n v="1"/>
    <n v="3"/>
    <s v="TARRAGONA"/>
    <m/>
    <s v="CON CLIENTE"/>
    <n v="87.340999999999994"/>
    <m/>
    <s v="AKUA"/>
    <x v="2"/>
    <n v="1153895.8"/>
    <n v="205"/>
    <d v="2012-08-15T00:00:00"/>
    <s v="2DA-AGO"/>
    <n v="0.7"/>
    <s v="LIBERADO"/>
    <s v="SANTANDER"/>
    <d v="2012-06-01T00:00:00"/>
    <n v="576947.9"/>
    <n v="276934.99200000003"/>
    <n v="0"/>
    <n v="276934.99200000003"/>
    <n v="0"/>
    <s v="50%"/>
    <n v="0.5"/>
    <d v="2012-07-18T00:00:00"/>
    <d v="2012-07-18T00:00:00"/>
    <d v="2012-07-18T00:00:00"/>
    <d v="2012-05-01T00:00:00"/>
    <s v="MAYOR A 2 MESES"/>
    <s v="ANDREA CARMONA SMITH"/>
    <m/>
    <m/>
    <m/>
    <m/>
    <m/>
    <m/>
    <n v="654654"/>
    <n v="5814"/>
    <n v="321"/>
    <s v="SEM 18"/>
    <s v="MAY"/>
    <n v="8500"/>
    <s v="HASTA 12 MIL"/>
    <s v="EXPO"/>
    <s v="APARTADO"/>
    <s v="COFINAVIT"/>
    <s v="AR"/>
    <d v="2012-05-15T00:00:00"/>
    <x v="1"/>
    <d v="2012-06-22T00:00:00"/>
    <d v="2012-08-20T00:00:00"/>
    <d v="2012-06-30T00:00:00"/>
    <m/>
    <m/>
    <m/>
    <m/>
    <n v="58"/>
    <m/>
    <s v="PAGADA"/>
    <s v="PENDIENTE"/>
    <s v="PENDIENTE"/>
    <n v="0.01"/>
    <n v="3846.3193333333334"/>
    <n v="3846.3193333333334"/>
    <n v="3846.3193333333334"/>
    <d v="2012-06-30T00:00:00"/>
    <m/>
    <m/>
    <m/>
    <s v="2DA-JUN-2012"/>
    <s v="ND"/>
    <s v="ND"/>
    <s v="ND"/>
    <s v="SEM 20"/>
    <s v="MAY"/>
    <s v="NA"/>
    <s v=""/>
    <s v="NA"/>
    <s v=""/>
    <s v="2DA-AGO"/>
    <s v="MAYOR A 2 MESES"/>
    <s v="NA"/>
    <s v="DE 11 A 15 DIAS"/>
    <s v="DE 11 A 15 DIAS"/>
    <s v="DE 11 A 15 DIAS"/>
    <n v="5000"/>
    <n v="17000"/>
    <n v="120000"/>
    <n v="10000"/>
    <m/>
    <m/>
    <m/>
    <m/>
    <m/>
    <m/>
    <m/>
    <x v="1"/>
    <x v="1"/>
    <x v="2"/>
    <x v="0"/>
    <x v="0"/>
    <x v="0"/>
    <x v="0"/>
    <x v="0"/>
    <x v="0"/>
    <x v="0"/>
    <n v="0"/>
    <n v="147000"/>
    <n v="0"/>
    <d v="2012-05-30T00:00:00"/>
    <d v="2012-06-14T00:00:00"/>
    <d v="2012-06-29T00:00:00"/>
    <m/>
    <m/>
    <m/>
    <m/>
    <m/>
    <m/>
    <m/>
    <s v="SEM 22"/>
    <s v="SEM 24"/>
    <s v="SEM 26"/>
    <s v="NA"/>
    <s v="NA"/>
    <s v="NA"/>
    <s v="NA"/>
    <s v="NA"/>
    <s v="NA"/>
    <s v="NA"/>
    <x v="2"/>
    <x v="3"/>
    <x v="2"/>
    <x v="0"/>
    <x v="0"/>
    <x v="0"/>
    <x v="0"/>
    <x v="0"/>
    <x v="0"/>
    <x v="0"/>
    <n v="2012"/>
    <n v="2012"/>
    <n v="2012"/>
    <s v=""/>
    <s v=""/>
    <s v=""/>
    <s v=""/>
    <s v=""/>
    <s v=""/>
    <s v=""/>
    <n v="1001895.8"/>
  </r>
  <r>
    <n v="167"/>
    <s v="PTA NORTE "/>
    <s v="030104"/>
    <n v="3"/>
    <n v="1"/>
    <n v="4"/>
    <s v="TARRAGONA"/>
    <m/>
    <s v="LIBRE"/>
    <n v="97.638000000000005"/>
    <m/>
    <s v="MARINE"/>
    <x v="2"/>
    <n v="1202024.3999999999"/>
    <n v="206"/>
    <d v="2012-08-15T00:00:00"/>
    <s v="2DA-AGO"/>
    <n v="0.7"/>
    <s v="NO LIBERADO"/>
    <s v="SANTANDER"/>
    <m/>
    <n v="601012.19999999995"/>
    <n v="288485.85599999997"/>
    <n v="312526.34399999998"/>
    <n v="0"/>
    <n v="288485.85599999997"/>
    <s v="50%"/>
    <n v="0.5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4006.7479999999996"/>
    <n v="4006.7479999999996"/>
    <n v="4006.7479999999996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02024.3999999999"/>
  </r>
  <r>
    <n v="168"/>
    <s v="PTA NORTE "/>
    <s v="030105"/>
    <n v="3"/>
    <n v="1"/>
    <n v="5"/>
    <s v="TARRAGONA"/>
    <m/>
    <s v="LIBRE"/>
    <n v="105.361"/>
    <m/>
    <s v="AKUA"/>
    <x v="2"/>
    <n v="1222371.8"/>
    <n v="207"/>
    <d v="2012-08-15T00:00:00"/>
    <s v="2DA-AGO"/>
    <n v="0.8"/>
    <s v="NO LIBERADO"/>
    <s v="SANTANDER"/>
    <m/>
    <n v="611185.9"/>
    <n v="293369.23200000002"/>
    <n v="317816.66800000001"/>
    <n v="0"/>
    <n v="293369.23200000002"/>
    <s v="50%"/>
    <n v="0.5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4074.5726666666669"/>
    <n v="4074.5726666666669"/>
    <n v="4074.5726666666669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22371.8"/>
  </r>
  <r>
    <n v="169"/>
    <s v="PTA NORTE "/>
    <s v="030201"/>
    <n v="3"/>
    <n v="2"/>
    <n v="1"/>
    <s v="ESTRELLA BLANCA"/>
    <m/>
    <s v="LIBRE"/>
    <n v="150.715"/>
    <m/>
    <s v="MARINE"/>
    <x v="2"/>
    <n v="1403717"/>
    <n v="208"/>
    <d v="2012-08-15T00:00:00"/>
    <s v="2DA-AGO"/>
    <n v="0.8"/>
    <s v="NO LIBERADO"/>
    <s v="SANTANDER"/>
    <m/>
    <n v="701858.5"/>
    <n v="336892.08"/>
    <n v="364966.42"/>
    <n v="0"/>
    <n v="336892.08"/>
    <s v="50%"/>
    <n v="0.5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4679.0566666666664"/>
    <n v="4679.0566666666664"/>
    <n v="4679.0566666666664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403717"/>
  </r>
  <r>
    <n v="170"/>
    <s v="PTA NORTE "/>
    <s v="030202"/>
    <n v="3"/>
    <n v="2"/>
    <n v="2"/>
    <s v="ESTRELLA BLANCA"/>
    <m/>
    <s v="EN OBRA"/>
    <n v="84.649000000000001"/>
    <m/>
    <s v="AKUA"/>
    <x v="2"/>
    <n v="1143666.2"/>
    <n v="209"/>
    <d v="2012-08-15T00:00:00"/>
    <s v="2DA-AGO"/>
    <n v="0.6"/>
    <s v="NO LIBERADO"/>
    <s v="SANTANDER"/>
    <m/>
    <n v="571833.1"/>
    <n v="274479.88799999998"/>
    <n v="297353.212"/>
    <n v="0"/>
    <n v="274479.88799999998"/>
    <s v="50%"/>
    <n v="0.5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812.2206666666666"/>
    <n v="3812.2206666666666"/>
    <n v="3812.2206666666666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3666.2"/>
  </r>
  <r>
    <n v="171"/>
    <s v="PTA NORTE "/>
    <s v="030203"/>
    <n v="3"/>
    <n v="2"/>
    <n v="3"/>
    <s v="ESTRELLA BLANCA"/>
    <m/>
    <s v="EN OBRA"/>
    <n v="81.147000000000006"/>
    <m/>
    <s v="AKUA"/>
    <x v="2"/>
    <n v="1130358.6000000001"/>
    <n v="210"/>
    <d v="2012-08-15T00:00:00"/>
    <s v="2DA-AGO"/>
    <n v="0.6"/>
    <s v="NO LIBERADO"/>
    <s v="SANTANDER"/>
    <m/>
    <n v="565179.30000000005"/>
    <n v="271286.06400000001"/>
    <n v="293893.23600000003"/>
    <n v="0"/>
    <n v="271286.06400000001"/>
    <s v="50%"/>
    <n v="0.5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67.8620000000005"/>
    <n v="3767.8620000000005"/>
    <n v="3767.862000000000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0358.6000000001"/>
  </r>
  <r>
    <n v="172"/>
    <s v="PTA NORTE "/>
    <s v="030204"/>
    <n v="3"/>
    <n v="2"/>
    <n v="4"/>
    <s v="ESTRELLA BLANCA"/>
    <m/>
    <s v="EN OBRA"/>
    <n v="112.72499999999999"/>
    <m/>
    <s v="MARINE"/>
    <x v="2"/>
    <n v="1259355"/>
    <n v="211"/>
    <d v="2012-08-15T00:00:00"/>
    <s v="2DA-AGO"/>
    <n v="0.6"/>
    <s v="NO LIBERADO"/>
    <s v="SANTANDER"/>
    <m/>
    <n v="629677.5"/>
    <n v="302245.2"/>
    <n v="327432.3"/>
    <n v="0"/>
    <n v="302245.2"/>
    <s v="50%"/>
    <n v="0.5"/>
    <d v="2012-06-23T00:00:00"/>
    <d v="2012-06-23T00:00:00"/>
    <d v="2012-06-2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4197.8500000000004"/>
    <n v="4197.8500000000004"/>
    <n v="4197.8500000000004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59355"/>
  </r>
  <r>
    <n v="173"/>
    <s v="PTA NORTE "/>
    <s v="030205"/>
    <n v="3"/>
    <n v="2"/>
    <n v="5"/>
    <s v="ESTRELLA BLANCA"/>
    <m/>
    <s v="EN OBRA"/>
    <n v="116.286"/>
    <m/>
    <s v="AKUA"/>
    <x v="2"/>
    <n v="1263886.8"/>
    <n v="212"/>
    <d v="2012-08-15T00:00:00"/>
    <s v="2DA-AGO"/>
    <n v="0.6"/>
    <s v="NO LIBERADO"/>
    <s v="SANTANDER"/>
    <m/>
    <n v="631943.4"/>
    <n v="303332.83199999999"/>
    <n v="328610.56800000003"/>
    <n v="0"/>
    <n v="303332.83199999999"/>
    <s v="50%"/>
    <n v="0.5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4212.9560000000001"/>
    <n v="4212.9560000000001"/>
    <n v="4212.9560000000001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63886.8"/>
  </r>
  <r>
    <n v="174"/>
    <s v="PTA NORTE "/>
    <s v="030206"/>
    <n v="3"/>
    <n v="2"/>
    <n v="6"/>
    <s v="ESTRELLA BLANCA"/>
    <m/>
    <s v="EN OBRA"/>
    <n v="80"/>
    <m/>
    <s v="MARINE"/>
    <x v="2"/>
    <n v="1135000"/>
    <n v="213"/>
    <d v="2012-08-15T00:00:00"/>
    <s v="2DA-AGO"/>
    <n v="0.6"/>
    <s v="NO LIBERADO"/>
    <s v="SANTANDER"/>
    <m/>
    <n v="567500"/>
    <n v="272400"/>
    <n v="295100"/>
    <n v="0"/>
    <n v="272400"/>
    <s v="50%"/>
    <n v="0.5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75"/>
    <s v="PTA NORTE "/>
    <s v="030207"/>
    <n v="3"/>
    <n v="2"/>
    <n v="7"/>
    <s v="ESTRELLA BLANCA"/>
    <m/>
    <s v="EN OBRA"/>
    <n v="80"/>
    <m/>
    <s v="AKUA"/>
    <x v="2"/>
    <n v="1126000"/>
    <n v="214"/>
    <d v="2012-08-15T00:00:00"/>
    <s v="2DA-AGO"/>
    <n v="0.6"/>
    <s v="NO LIBERADO"/>
    <s v="SANTANDER"/>
    <m/>
    <n v="563000"/>
    <n v="270240"/>
    <n v="292760"/>
    <n v="0"/>
    <n v="270240"/>
    <s v="50%"/>
    <n v="0.5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76"/>
    <s v="PTA NORTE "/>
    <s v="030208"/>
    <n v="3"/>
    <n v="2"/>
    <n v="8"/>
    <s v="ESTRELLA BLANCA"/>
    <m/>
    <s v="EN OBRA"/>
    <n v="80"/>
    <m/>
    <s v="AKUA"/>
    <x v="2"/>
    <n v="1126000"/>
    <n v="215"/>
    <d v="2012-08-15T00:00:00"/>
    <s v="2DA-AGO"/>
    <n v="0.6"/>
    <s v="NO LIBERADO"/>
    <s v="SANTANDER"/>
    <m/>
    <n v="563000"/>
    <n v="270240"/>
    <n v="292760"/>
    <n v="0"/>
    <n v="270240"/>
    <s v="50%"/>
    <n v="0.5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77"/>
    <s v="PTA NORTE "/>
    <s v="030209"/>
    <n v="3"/>
    <n v="2"/>
    <n v="9"/>
    <s v="ESTRELLA BLANCA"/>
    <m/>
    <s v="EN OBRA"/>
    <n v="80"/>
    <m/>
    <s v="MARINE"/>
    <x v="2"/>
    <n v="1135000"/>
    <n v="216"/>
    <d v="2012-08-15T00:00:00"/>
    <s v="2DA-AGO"/>
    <n v="0.6"/>
    <s v="NO LIBERADO"/>
    <s v="SANTANDER"/>
    <m/>
    <n v="567500"/>
    <n v="272400"/>
    <n v="295100"/>
    <n v="0"/>
    <n v="272400"/>
    <s v="50%"/>
    <n v="0.5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78"/>
    <s v="PTA NORTE "/>
    <s v="030210"/>
    <n v="3"/>
    <n v="2"/>
    <n v="10"/>
    <s v="ESTRELLA BLANCA"/>
    <m/>
    <s v="EN OBRA"/>
    <n v="80"/>
    <m/>
    <s v="AKUA"/>
    <x v="2"/>
    <n v="1126000"/>
    <n v="217"/>
    <d v="2012-08-15T00:00:00"/>
    <s v="2DA-AGO"/>
    <n v="0.6"/>
    <s v="NO LIBERADO"/>
    <s v="SANTANDER"/>
    <m/>
    <n v="563000"/>
    <n v="270240"/>
    <n v="292760"/>
    <n v="0"/>
    <n v="270240"/>
    <s v="50%"/>
    <n v="0.5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79"/>
    <s v="PTA NORTE "/>
    <s v="030301"/>
    <n v="3"/>
    <n v="3"/>
    <n v="1"/>
    <s v="ESTRELLA DE LA PRIMAVERA"/>
    <m/>
    <s v="EN OBRA"/>
    <n v="80"/>
    <m/>
    <s v="MARINE"/>
    <x v="2"/>
    <n v="1135000"/>
    <n v="218"/>
    <d v="2012-09-15T00:00:00"/>
    <s v="2DA-SEP"/>
    <n v="0.5"/>
    <s v="NO LIBERADO"/>
    <s v="SANTANDER"/>
    <m/>
    <n v="567500"/>
    <n v="272400"/>
    <n v="295100"/>
    <n v="0"/>
    <n v="272400"/>
    <s v="50%"/>
    <n v="0.5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80"/>
    <s v="PTA NORTE "/>
    <s v="030302"/>
    <n v="3"/>
    <n v="3"/>
    <n v="2"/>
    <s v="ESTRELLA DE LA PRIMAVERA"/>
    <m/>
    <s v="EN OBRA"/>
    <n v="80"/>
    <m/>
    <s v="AKUA"/>
    <x v="2"/>
    <n v="1126000"/>
    <n v="219"/>
    <d v="2012-09-15T00:00:00"/>
    <s v="2DA-SEP"/>
    <n v="0.5"/>
    <s v="NO LIBERADO"/>
    <s v="SANTANDER"/>
    <m/>
    <n v="563000"/>
    <n v="270240"/>
    <n v="292760"/>
    <n v="0"/>
    <n v="270240"/>
    <s v="50%"/>
    <n v="0.5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81"/>
    <s v="PTA NORTE "/>
    <s v="030303"/>
    <n v="3"/>
    <n v="3"/>
    <n v="3"/>
    <s v="ESTRELLA DE LA PRIMAVERA"/>
    <m/>
    <s v="EN OBRA"/>
    <n v="80"/>
    <m/>
    <s v="AKUA"/>
    <x v="2"/>
    <n v="1126000"/>
    <n v="220"/>
    <d v="2012-09-15T00:00:00"/>
    <s v="2DA-SEP"/>
    <n v="0.5"/>
    <s v="NO LIBERADO"/>
    <s v="SANTANDER"/>
    <m/>
    <n v="563000"/>
    <n v="270240"/>
    <n v="292760"/>
    <n v="0"/>
    <n v="270240"/>
    <s v="50%"/>
    <n v="0.5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82"/>
    <s v="PTA NORTE "/>
    <s v="030304"/>
    <n v="3"/>
    <n v="3"/>
    <n v="4"/>
    <s v="ESTRELLA DE LA PRIMAVERA"/>
    <m/>
    <s v="EN OBRA"/>
    <n v="80"/>
    <m/>
    <s v="MARINE"/>
    <x v="2"/>
    <n v="1135000"/>
    <n v="221"/>
    <d v="2012-09-15T00:00:00"/>
    <s v="2DA-SEP"/>
    <n v="0.3"/>
    <s v="NO LIBERADO"/>
    <s v="SANTANDER"/>
    <m/>
    <n v="567500"/>
    <n v="0"/>
    <n v="567500"/>
    <n v="0"/>
    <n v="0"/>
    <s v="5%"/>
    <n v="0.95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83"/>
    <s v="PTA NORTE "/>
    <s v="030305"/>
    <n v="3"/>
    <n v="3"/>
    <n v="5"/>
    <s v="ESTRELLA DE LA PRIMAVERA"/>
    <m/>
    <s v="EN OBRA"/>
    <n v="80"/>
    <m/>
    <s v="AKUA"/>
    <x v="2"/>
    <n v="1126000"/>
    <n v="222"/>
    <d v="2012-09-15T00:00:00"/>
    <s v="2DA-SEP"/>
    <n v="0.4"/>
    <s v="NO LIBERADO"/>
    <s v="SANTANDER"/>
    <m/>
    <n v="563000"/>
    <n v="0"/>
    <n v="563000"/>
    <n v="0"/>
    <n v="0"/>
    <s v="5%"/>
    <n v="0.95"/>
    <d v="2012-06-23T00:00:00"/>
    <d v="2012-06-23T00:00:00"/>
    <d v="2012-06-2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84"/>
    <s v="PTA NORTE "/>
    <s v="030306"/>
    <n v="3"/>
    <n v="3"/>
    <n v="6"/>
    <s v="ESTRELLA DE LA PRIMAVERA"/>
    <m/>
    <s v="EN OBRA"/>
    <n v="80"/>
    <m/>
    <s v="AKUA"/>
    <x v="2"/>
    <n v="1126000"/>
    <n v="223"/>
    <d v="2012-09-15T00:00:00"/>
    <s v="2DA-SEP"/>
    <n v="0.4"/>
    <s v="NO LIBERADO"/>
    <s v="SANTANDER"/>
    <m/>
    <n v="563000"/>
    <n v="0"/>
    <n v="563000"/>
    <n v="0"/>
    <n v="0"/>
    <s v="5%"/>
    <n v="0.95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85"/>
    <s v="PTA NORTE "/>
    <s v="030307"/>
    <n v="3"/>
    <n v="3"/>
    <n v="7"/>
    <s v="ESTRELLA DE LA PRIMAVERA"/>
    <m/>
    <s v="EN OBRA"/>
    <n v="108.857"/>
    <m/>
    <s v="MARINE"/>
    <x v="2"/>
    <n v="1244656.6000000001"/>
    <n v="224"/>
    <d v="2012-09-15T00:00:00"/>
    <s v="2DA-SEP"/>
    <n v="0.3"/>
    <s v="NO LIBERADO"/>
    <s v="SANTANDER"/>
    <m/>
    <n v="622328.30000000005"/>
    <n v="0"/>
    <n v="622328.30000000005"/>
    <n v="0"/>
    <n v="0"/>
    <s v="5%"/>
    <n v="0.95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4148.8553333333339"/>
    <n v="4148.8553333333339"/>
    <n v="4148.8553333333339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44656.6000000001"/>
  </r>
  <r>
    <n v="186"/>
    <s v="PTA NORTE "/>
    <s v="030308"/>
    <n v="3"/>
    <n v="3"/>
    <n v="8"/>
    <s v="ESTRELLA DE LA PRIMAVERA"/>
    <m/>
    <s v="EN OBRA"/>
    <n v="116.286"/>
    <m/>
    <s v="MARINE"/>
    <x v="2"/>
    <n v="1272886.8"/>
    <n v="225"/>
    <d v="2012-09-15T00:00:00"/>
    <s v="2DA-SEP"/>
    <n v="0.3"/>
    <s v="NO LIBERADO"/>
    <s v="SANTANDER"/>
    <m/>
    <n v="636443.4"/>
    <n v="0"/>
    <n v="636443.4"/>
    <n v="0"/>
    <n v="0"/>
    <s v="5%"/>
    <n v="0.95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4242.9560000000001"/>
    <n v="4242.9560000000001"/>
    <n v="4242.9560000000001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72886.8"/>
  </r>
  <r>
    <n v="187"/>
    <s v="PTA NORTE "/>
    <s v="030309"/>
    <n v="3"/>
    <n v="3"/>
    <n v="9"/>
    <s v="ESTRELLA DE LA PRIMAVERA"/>
    <m/>
    <s v="EN OBRA"/>
    <n v="80"/>
    <m/>
    <s v="AKUA"/>
    <x v="2"/>
    <n v="1126000"/>
    <n v="226"/>
    <d v="2012-09-15T00:00:00"/>
    <s v="2DA-SEP"/>
    <n v="0.3"/>
    <s v="NO LIBERADO"/>
    <s v="SANTANDER"/>
    <m/>
    <n v="563000"/>
    <n v="0"/>
    <n v="563000"/>
    <n v="0"/>
    <n v="0"/>
    <s v="5%"/>
    <n v="0.95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88"/>
    <s v="PTA NORTE "/>
    <s v="030310"/>
    <n v="3"/>
    <n v="3"/>
    <n v="10"/>
    <s v="ESTRELLA DE LA PRIMAVERA"/>
    <m/>
    <s v="EN OBRA"/>
    <n v="80"/>
    <m/>
    <s v="AKUA"/>
    <x v="2"/>
    <n v="1126000"/>
    <n v="227"/>
    <d v="2012-09-15T00:00:00"/>
    <s v="2DA-SEP"/>
    <n v="0.3"/>
    <s v="NO LIBERADO"/>
    <s v="SANTANDER"/>
    <m/>
    <n v="563000"/>
    <n v="0"/>
    <n v="563000"/>
    <n v="0"/>
    <n v="0"/>
    <s v="5%"/>
    <n v="0.95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89"/>
    <s v="PTA NORTE "/>
    <s v="030311"/>
    <n v="3"/>
    <n v="3"/>
    <n v="11"/>
    <s v="ESTRELLA DE LA PRIMAVERA"/>
    <m/>
    <s v="EN OBRA"/>
    <n v="80"/>
    <m/>
    <s v="MARINE"/>
    <x v="2"/>
    <n v="1135000"/>
    <n v="228"/>
    <d v="2012-09-15T00:00:00"/>
    <s v="2DA-SEP"/>
    <n v="0.3"/>
    <s v="NO LIBERADO"/>
    <s v="SANTANDER"/>
    <m/>
    <n v="567500"/>
    <n v="0"/>
    <n v="567500"/>
    <n v="0"/>
    <n v="0"/>
    <s v="5%"/>
    <n v="0.95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90"/>
    <s v="PTA NORTE "/>
    <s v="030312"/>
    <n v="3"/>
    <n v="3"/>
    <n v="12"/>
    <s v="ESTRELLA DE LA PRIMAVERA"/>
    <m/>
    <s v="EN OBRA"/>
    <n v="80"/>
    <m/>
    <s v="AKUA"/>
    <x v="2"/>
    <n v="1126000"/>
    <n v="229"/>
    <d v="2012-09-15T00:00:00"/>
    <s v="2DA-SEP"/>
    <n v="0.3"/>
    <s v="NO LIBERADO"/>
    <s v="SANTANDER"/>
    <m/>
    <n v="563000"/>
    <n v="0"/>
    <n v="563000"/>
    <n v="0"/>
    <n v="0"/>
    <s v="5%"/>
    <n v="0.95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91"/>
    <s v="PTA NORTE "/>
    <s v="030313"/>
    <n v="3"/>
    <n v="3"/>
    <n v="13"/>
    <s v="ESTRELLA DE LA PRIMAVERA"/>
    <m/>
    <s v="EN OBRA"/>
    <n v="80"/>
    <m/>
    <s v="AKUA"/>
    <x v="2"/>
    <n v="1126000"/>
    <n v="230"/>
    <d v="2012-09-15T00:00:00"/>
    <s v="2DA-SEP"/>
    <n v="0.3"/>
    <s v="NO LIBERADO"/>
    <s v="SANTANDER"/>
    <m/>
    <n v="563000"/>
    <n v="0"/>
    <n v="563000"/>
    <n v="0"/>
    <n v="0"/>
    <s v="5%"/>
    <n v="0.95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92"/>
    <s v="PTA NORTE "/>
    <s v="030314"/>
    <n v="3"/>
    <n v="3"/>
    <n v="14"/>
    <s v="ESTRELLA DE LA PRIMAVERA"/>
    <m/>
    <s v="EN OBRA"/>
    <n v="80"/>
    <m/>
    <s v="MARINE"/>
    <x v="2"/>
    <n v="1135000"/>
    <n v="231"/>
    <d v="2012-09-15T00:00:00"/>
    <s v="2DA-SEP"/>
    <n v="0.3"/>
    <s v="NO LIBERADO"/>
    <s v="SANTANDER"/>
    <m/>
    <n v="567500"/>
    <n v="0"/>
    <n v="567500"/>
    <n v="0"/>
    <n v="0"/>
    <s v="5%"/>
    <n v="0.95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93"/>
    <s v="PTA NORTE "/>
    <s v="030315"/>
    <n v="3"/>
    <n v="3"/>
    <n v="15"/>
    <s v="ESTRELLA DE LA PRIMAVERA"/>
    <m/>
    <s v="EN OBRA"/>
    <n v="80"/>
    <m/>
    <s v="AKUA"/>
    <x v="2"/>
    <n v="1126000"/>
    <n v="232"/>
    <d v="2012-09-15T00:00:00"/>
    <s v="2DA-SEP"/>
    <n v="0.3"/>
    <s v="NO LIBERADO"/>
    <s v="SANTANDER"/>
    <m/>
    <n v="563000"/>
    <n v="0"/>
    <n v="563000"/>
    <n v="0"/>
    <n v="0"/>
    <s v="5%"/>
    <n v="0.95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94"/>
    <s v="PTA NORTE "/>
    <s v="030316"/>
    <n v="3"/>
    <n v="3"/>
    <n v="16"/>
    <s v="ESTRELLA DE LA PRIMAVERA"/>
    <m/>
    <s v="EN OBRA"/>
    <n v="80"/>
    <m/>
    <s v="AKUA"/>
    <x v="2"/>
    <n v="1126000"/>
    <n v="233"/>
    <d v="2012-09-15T00:00:00"/>
    <s v="2DA-SEP"/>
    <n v="0.3"/>
    <s v="NO LIBERADO"/>
    <s v="SANTANDER"/>
    <m/>
    <n v="563000"/>
    <n v="0"/>
    <n v="563000"/>
    <n v="0"/>
    <n v="0"/>
    <s v="5%"/>
    <n v="0.95"/>
    <d v="2012-06-23T00:00:00"/>
    <d v="2012-06-23T00:00:00"/>
    <d v="2012-06-2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95"/>
    <s v="PTA NORTE "/>
    <s v="030401"/>
    <n v="3"/>
    <n v="4"/>
    <n v="1"/>
    <s v="ESTRELLA DE INVIERNO"/>
    <m/>
    <s v="EN OBRA"/>
    <n v="115.05200000000001"/>
    <m/>
    <s v="MARINE"/>
    <x v="2"/>
    <n v="1268197.6000000001"/>
    <n v="234"/>
    <d v="2012-09-30T00:00:00"/>
    <s v="2DA-SEP"/>
    <n v="0.3"/>
    <s v="NO LIBERADO"/>
    <s v="SANTANDER"/>
    <m/>
    <n v="634098.80000000005"/>
    <n v="0"/>
    <n v="634098.80000000005"/>
    <n v="0"/>
    <n v="0"/>
    <s v="5%"/>
    <n v="0.95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4227.3253333333332"/>
    <n v="4227.3253333333332"/>
    <n v="4227.3253333333332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68197.6000000001"/>
  </r>
  <r>
    <n v="196"/>
    <s v="PTA NORTE "/>
    <s v="030402"/>
    <n v="3"/>
    <n v="4"/>
    <n v="2"/>
    <s v="ESTRELLA DE INVIERNO"/>
    <m/>
    <s v="EN OBRA"/>
    <n v="80"/>
    <m/>
    <s v="AKUA"/>
    <x v="2"/>
    <n v="1126000"/>
    <n v="235"/>
    <d v="2012-09-30T00:00:00"/>
    <s v="2DA-SEP"/>
    <n v="0.3"/>
    <s v="NO LIBERADO"/>
    <s v="SANTANDER"/>
    <m/>
    <n v="563000"/>
    <n v="0"/>
    <n v="563000"/>
    <n v="0"/>
    <n v="0"/>
    <s v="5%"/>
    <n v="0.95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97"/>
    <s v="PTA NORTE "/>
    <s v="030403"/>
    <n v="3"/>
    <n v="4"/>
    <n v="3"/>
    <s v="ESTRELLA DE INVIERNO"/>
    <m/>
    <s v="EN OBRA"/>
    <n v="80"/>
    <m/>
    <s v="AKUA"/>
    <x v="2"/>
    <n v="1126000"/>
    <n v="236"/>
    <d v="2012-09-30T00:00:00"/>
    <s v="2DA-SEP"/>
    <n v="0.3"/>
    <s v="NO LIBERADO"/>
    <s v="SANTANDER"/>
    <m/>
    <n v="563000"/>
    <n v="0"/>
    <n v="563000"/>
    <n v="0"/>
    <n v="0"/>
    <s v="5%"/>
    <n v="0.95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98"/>
    <s v="PTA NORTE "/>
    <s v="030404"/>
    <n v="3"/>
    <n v="4"/>
    <n v="4"/>
    <s v="ESTRELLA DE INVIERNO"/>
    <m/>
    <s v="EN OBRA"/>
    <n v="80"/>
    <m/>
    <s v="MARINE"/>
    <x v="2"/>
    <n v="1135000"/>
    <n v="237"/>
    <d v="2012-09-30T00:00:00"/>
    <s v="2DA-SEP"/>
    <n v="0.3"/>
    <s v="NO LIBERADO"/>
    <s v="SANTANDER"/>
    <m/>
    <n v="567500"/>
    <n v="0"/>
    <n v="567500"/>
    <n v="0"/>
    <n v="0"/>
    <s v="5%"/>
    <n v="0.95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99"/>
    <s v="PTA NORTE "/>
    <s v="030405"/>
    <n v="3"/>
    <n v="4"/>
    <n v="5"/>
    <s v="ESTRELLA DE INVIERNO"/>
    <m/>
    <s v="EN OBRA"/>
    <n v="80"/>
    <m/>
    <s v="AKUA"/>
    <x v="2"/>
    <n v="1126000"/>
    <n v="238"/>
    <d v="2012-09-30T00:00:00"/>
    <s v="2DA-SEP"/>
    <n v="0.3"/>
    <s v="NO LIBERADO"/>
    <s v="SANTANDER"/>
    <m/>
    <n v="563000"/>
    <n v="0"/>
    <n v="563000"/>
    <n v="0"/>
    <n v="0"/>
    <s v="5%"/>
    <n v="0.95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00"/>
    <s v="PTA NORTE "/>
    <s v="030406"/>
    <n v="3"/>
    <n v="4"/>
    <n v="6"/>
    <s v="ESTRELLA DE INVIERNO"/>
    <m/>
    <s v="EN OBRA"/>
    <n v="80"/>
    <m/>
    <s v="AKUA"/>
    <x v="2"/>
    <n v="1126000"/>
    <n v="239"/>
    <d v="2012-09-30T00:00:00"/>
    <s v="2DA-SEP"/>
    <n v="0.3"/>
    <s v="NO LIBERADO"/>
    <s v="SANTANDER"/>
    <m/>
    <n v="563000"/>
    <n v="0"/>
    <n v="563000"/>
    <n v="0"/>
    <n v="0"/>
    <s v="5%"/>
    <n v="0.95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01"/>
    <s v="PTA NORTE "/>
    <s v="030407"/>
    <n v="3"/>
    <n v="4"/>
    <n v="7"/>
    <s v="ESTRELLA DE INVIERNO"/>
    <m/>
    <s v="EN OBRA"/>
    <n v="80"/>
    <m/>
    <s v="MARINE"/>
    <x v="2"/>
    <n v="1135000"/>
    <n v="240"/>
    <d v="2012-09-30T00:00:00"/>
    <s v="2DA-SEP"/>
    <n v="0.3"/>
    <s v="NO LIBERADO"/>
    <s v="SANTANDER"/>
    <m/>
    <n v="567500"/>
    <n v="0"/>
    <n v="567500"/>
    <n v="0"/>
    <n v="0"/>
    <s v="5%"/>
    <n v="0.95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202"/>
    <s v="PTA NORTE "/>
    <s v="030408"/>
    <n v="3"/>
    <n v="4"/>
    <n v="8"/>
    <s v="ESTRELLA DE INVIERNO"/>
    <m/>
    <s v="EN OBRA"/>
    <n v="80"/>
    <m/>
    <s v="AKUA"/>
    <x v="2"/>
    <n v="1126000"/>
    <n v="241"/>
    <d v="2012-09-30T00:00:00"/>
    <s v="2DA-SEP"/>
    <n v="0.3"/>
    <s v="NO LIBERADO"/>
    <s v="SANTANDER"/>
    <m/>
    <n v="563000"/>
    <n v="0"/>
    <n v="563000"/>
    <n v="0"/>
    <n v="0"/>
    <s v="5%"/>
    <n v="0.95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03"/>
    <s v="PTA NORTE "/>
    <s v="030409"/>
    <n v="3"/>
    <n v="4"/>
    <n v="9"/>
    <s v="ESTRELLA DE INVIERNO"/>
    <m/>
    <s v="EN OBRA"/>
    <n v="80"/>
    <m/>
    <s v="AKUA"/>
    <x v="2"/>
    <n v="1126000"/>
    <n v="242"/>
    <d v="2012-09-30T00:00:00"/>
    <s v="2DA-SEP"/>
    <n v="0.3"/>
    <s v="NO LIBERADO"/>
    <s v="SANTANDER"/>
    <m/>
    <n v="563000"/>
    <n v="0"/>
    <n v="563000"/>
    <n v="0"/>
    <n v="0"/>
    <s v="5%"/>
    <n v="0.95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04"/>
    <s v="PTA NORTE "/>
    <s v="030410"/>
    <n v="3"/>
    <n v="4"/>
    <n v="10"/>
    <s v="ESTRELLA DE INVIERNO"/>
    <m/>
    <s v="EN OBRA"/>
    <n v="80"/>
    <m/>
    <s v="MARINE"/>
    <x v="2"/>
    <n v="1135000"/>
    <n v="243"/>
    <d v="2012-09-30T00:00:00"/>
    <s v="2DA-SEP"/>
    <n v="0.3"/>
    <s v="NO LIBERADO"/>
    <s v="SANTANDER"/>
    <m/>
    <n v="567500"/>
    <n v="0"/>
    <n v="567500"/>
    <n v="0"/>
    <n v="0"/>
    <s v="5%"/>
    <n v="0.95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205"/>
    <s v="PTA NORTE "/>
    <s v="030411"/>
    <n v="3"/>
    <n v="4"/>
    <n v="11"/>
    <s v="ESTRELLA DE INVIERNO"/>
    <m/>
    <s v="EN OBRA"/>
    <n v="108.857"/>
    <m/>
    <s v="AKUA"/>
    <x v="2"/>
    <n v="1235656.6000000001"/>
    <n v="244"/>
    <d v="2012-09-30T00:00:00"/>
    <s v="2DA-SEP"/>
    <n v="0.3"/>
    <s v="NO LIBERADO"/>
    <s v="SANTANDER"/>
    <m/>
    <n v="617828.30000000005"/>
    <n v="0"/>
    <n v="617828.30000000005"/>
    <n v="0"/>
    <n v="0"/>
    <s v="5%"/>
    <n v="0.95"/>
    <d v="2012-06-23T00:00:00"/>
    <d v="2012-06-23T00:00:00"/>
    <d v="2012-06-2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4118.8553333333339"/>
    <n v="4118.8553333333339"/>
    <n v="4118.8553333333339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35656.6000000001"/>
  </r>
  <r>
    <n v="206"/>
    <s v="PTA NORTE "/>
    <s v="030412"/>
    <n v="3"/>
    <n v="4"/>
    <n v="12"/>
    <s v="ESTRELLA DE INVIERNO"/>
    <m/>
    <s v="EN OBRA"/>
    <n v="116.286"/>
    <m/>
    <s v="AKUA"/>
    <x v="2"/>
    <n v="1263886.8"/>
    <n v="245"/>
    <d v="2012-09-30T00:00:00"/>
    <s v="2DA-SEP"/>
    <n v="0.3"/>
    <s v="NO LIBERADO"/>
    <s v="SANTANDER"/>
    <m/>
    <n v="631943.4"/>
    <n v="0"/>
    <n v="631943.4"/>
    <n v="0"/>
    <n v="0"/>
    <s v="5%"/>
    <n v="0.95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4212.9560000000001"/>
    <n v="4212.9560000000001"/>
    <n v="4212.9560000000001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63886.8"/>
  </r>
  <r>
    <n v="207"/>
    <s v="PTA NORTE "/>
    <s v="030413"/>
    <n v="3"/>
    <n v="4"/>
    <n v="13"/>
    <s v="ESTRELLA DE INVIERNO"/>
    <m/>
    <s v="EN OBRA"/>
    <n v="80"/>
    <m/>
    <s v="AKUA"/>
    <x v="2"/>
    <n v="1126000"/>
    <n v="246"/>
    <d v="2012-09-30T00:00:00"/>
    <s v="2DA-SEP"/>
    <n v="0.3"/>
    <s v="NO LIBERADO"/>
    <s v="SANTANDER"/>
    <m/>
    <n v="563000"/>
    <n v="0"/>
    <n v="563000"/>
    <n v="0"/>
    <n v="0"/>
    <s v="5%"/>
    <n v="0.95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08"/>
    <s v="PTA NORTE "/>
    <s v="030414"/>
    <n v="3"/>
    <n v="4"/>
    <n v="14"/>
    <s v="ESTRELLA DE INVIERNO"/>
    <m/>
    <s v="EN OBRA"/>
    <n v="80"/>
    <m/>
    <s v="MARINE"/>
    <x v="2"/>
    <n v="1135000"/>
    <n v="247"/>
    <d v="2012-09-30T00:00:00"/>
    <s v="2DA-SEP"/>
    <n v="0.3"/>
    <s v="NO LIBERADO"/>
    <s v="SANTANDER"/>
    <m/>
    <n v="567500"/>
    <n v="0"/>
    <n v="567500"/>
    <n v="0"/>
    <n v="0"/>
    <s v="5%"/>
    <n v="0.95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209"/>
    <s v="PTA NORTE "/>
    <s v="030415"/>
    <n v="3"/>
    <n v="4"/>
    <n v="15"/>
    <s v="ESTRELLA DE INVIERNO"/>
    <m/>
    <s v="EN OBRA"/>
    <n v="80"/>
    <m/>
    <s v="AKUA"/>
    <x v="2"/>
    <n v="1126000"/>
    <n v="248"/>
    <d v="2012-09-30T00:00:00"/>
    <s v="2DA-SEP"/>
    <n v="0.3"/>
    <s v="NO LIBERADO"/>
    <s v="SANTANDER"/>
    <m/>
    <n v="563000"/>
    <n v="168900"/>
    <n v="394100"/>
    <n v="0"/>
    <n v="168900"/>
    <s v="30%"/>
    <n v="0.7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10"/>
    <s v="PTA NORTE "/>
    <s v="030416"/>
    <n v="3"/>
    <n v="4"/>
    <n v="16"/>
    <s v="ESTRELLA DE INVIERNO"/>
    <m/>
    <s v="EN OBRA"/>
    <n v="80"/>
    <m/>
    <s v="AKUA"/>
    <x v="2"/>
    <n v="1126000"/>
    <n v="249"/>
    <d v="2012-09-30T00:00:00"/>
    <s v="2DA-SEP"/>
    <n v="0.3"/>
    <s v="NO LIBERADO"/>
    <s v="SANTANDER"/>
    <m/>
    <n v="563000"/>
    <n v="478550"/>
    <n v="84450"/>
    <n v="0"/>
    <n v="478550"/>
    <s v="85%"/>
    <n v="0.15000000000000002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11"/>
    <s v="PTA NORTE "/>
    <s v="030417"/>
    <n v="3"/>
    <n v="4"/>
    <n v="17"/>
    <s v="ESTRELLA DE INVIERNO"/>
    <m/>
    <s v="EN OBRA"/>
    <n v="80"/>
    <m/>
    <s v="MARINE"/>
    <x v="2"/>
    <n v="1135000"/>
    <n v="250"/>
    <d v="2012-09-30T00:00:00"/>
    <s v="2DA-SEP"/>
    <n v="0.3"/>
    <s v="NO LIBERADO"/>
    <s v="SANTANDER"/>
    <m/>
    <n v="567500"/>
    <n v="357525"/>
    <n v="209975"/>
    <n v="0"/>
    <n v="357525"/>
    <s v="65%"/>
    <n v="0.35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212"/>
    <s v="PTA NORTE "/>
    <s v="030418"/>
    <n v="3"/>
    <n v="4"/>
    <n v="18"/>
    <s v="ESTRELLA DE INVIERNO"/>
    <m/>
    <s v="EN OBRA"/>
    <n v="80"/>
    <m/>
    <s v="AKUA"/>
    <x v="2"/>
    <n v="1126000"/>
    <n v="251"/>
    <d v="2012-09-30T00:00:00"/>
    <s v="2DA-SEP"/>
    <n v="0.3"/>
    <s v="NO LIBERADO"/>
    <s v="SANTANDER"/>
    <m/>
    <n v="563000"/>
    <n v="354690"/>
    <n v="208310"/>
    <n v="0"/>
    <n v="354690"/>
    <s v="65%"/>
    <n v="0.35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13"/>
    <s v="PTA NORTE "/>
    <s v="030419"/>
    <n v="3"/>
    <n v="4"/>
    <n v="19"/>
    <s v="ESTRELLA DE INVIERNO"/>
    <m/>
    <s v="EN OBRA"/>
    <n v="80"/>
    <m/>
    <s v="AKUA"/>
    <x v="2"/>
    <n v="1126000"/>
    <n v="252"/>
    <d v="2012-09-30T00:00:00"/>
    <s v="2DA-SEP"/>
    <n v="0.3"/>
    <s v="NO LIBERADO"/>
    <s v="SANTANDER"/>
    <m/>
    <n v="563000"/>
    <n v="354690"/>
    <n v="208310"/>
    <n v="0"/>
    <n v="354690"/>
    <s v="65%"/>
    <n v="0.35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14"/>
    <s v="PTA NORTE "/>
    <s v="030420"/>
    <n v="3"/>
    <n v="4"/>
    <n v="20"/>
    <s v="ESTRELLA DE INVIERNO"/>
    <m/>
    <s v="EN OBRA"/>
    <n v="80"/>
    <m/>
    <s v="MARINE"/>
    <x v="2"/>
    <n v="1135000"/>
    <n v="253"/>
    <d v="2012-09-30T00:00:00"/>
    <s v="2DA-SEP"/>
    <n v="0.3"/>
    <s v="NO LIBERADO"/>
    <s v="SANTANDER"/>
    <m/>
    <n v="567500"/>
    <n v="357525"/>
    <n v="209975"/>
    <n v="0"/>
    <n v="357525"/>
    <s v="65%"/>
    <n v="0.35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215"/>
    <s v="PTA NORTE "/>
    <s v="030421"/>
    <n v="3"/>
    <n v="4"/>
    <n v="21"/>
    <s v="ESTRELLA DE INVIERNO"/>
    <m/>
    <s v="EN OBRA"/>
    <n v="80"/>
    <m/>
    <s v="AKUA"/>
    <x v="2"/>
    <n v="1126000"/>
    <n v="254"/>
    <d v="2012-09-30T00:00:00"/>
    <s v="2DA-SEP"/>
    <n v="0.3"/>
    <s v="NO LIBERADO"/>
    <s v="SANTANDER"/>
    <m/>
    <n v="563000"/>
    <n v="354690"/>
    <n v="208310"/>
    <n v="0"/>
    <n v="354690"/>
    <s v="65%"/>
    <n v="0.35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16"/>
    <s v="PTA NORTE "/>
    <s v="030422"/>
    <n v="3"/>
    <n v="4"/>
    <n v="22"/>
    <s v="ESTRELLA DE INVIERNO"/>
    <m/>
    <s v="EN OBRA"/>
    <n v="80"/>
    <m/>
    <s v="AKUA"/>
    <x v="2"/>
    <n v="1126000"/>
    <n v="255"/>
    <d v="2012-09-30T00:00:00"/>
    <s v="2DA-SEP"/>
    <n v="0.3"/>
    <s v="NO LIBERADO"/>
    <s v="SANTANDER"/>
    <m/>
    <n v="563000"/>
    <n v="354690"/>
    <n v="208310"/>
    <n v="0"/>
    <n v="354690"/>
    <s v="65%"/>
    <n v="0.35"/>
    <d v="2012-06-23T00:00:00"/>
    <d v="2012-06-23T00:00:00"/>
    <d v="2012-06-2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17"/>
    <s v="PTA NORTE "/>
    <s v="030423"/>
    <n v="3"/>
    <n v="4"/>
    <n v="23"/>
    <s v="ESTRELLA DE INVIERNO"/>
    <m/>
    <s v="EN OBRA"/>
    <n v="80"/>
    <m/>
    <s v="MARINE"/>
    <x v="2"/>
    <n v="1135000"/>
    <n v="256"/>
    <d v="2012-09-30T00:00:00"/>
    <s v="2DA-SEP"/>
    <n v="0.3"/>
    <s v="NO LIBERADO"/>
    <s v="SANTANDER"/>
    <m/>
    <n v="567500"/>
    <n v="357525"/>
    <n v="209975"/>
    <n v="0"/>
    <n v="357525"/>
    <s v="65%"/>
    <n v="0.35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218"/>
    <s v="PTA NORTE "/>
    <s v="030424"/>
    <n v="3"/>
    <n v="4"/>
    <n v="24"/>
    <s v="ESTRELLA DE INVIERNO"/>
    <m/>
    <s v="EN OBRA"/>
    <n v="109.501"/>
    <m/>
    <s v="AKUA"/>
    <x v="2"/>
    <n v="1238103.8"/>
    <n v="257"/>
    <d v="2012-09-30T00:00:00"/>
    <s v="2DA-SEP"/>
    <n v="0.3"/>
    <s v="NO LIBERADO"/>
    <s v="SANTANDER"/>
    <m/>
    <n v="619051.9"/>
    <n v="390002.69700000004"/>
    <n v="229049.20299999998"/>
    <n v="0"/>
    <n v="390002.69700000004"/>
    <s v="65%"/>
    <n v="0.35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4127.0126666666665"/>
    <n v="4127.0126666666665"/>
    <n v="4127.012666666666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38103.8"/>
  </r>
  <r>
    <n v="219"/>
    <s v="PTA NORTE "/>
    <s v="040101"/>
    <n v="4"/>
    <n v="1"/>
    <n v="1"/>
    <s v="AV. DEL ESCORIAL"/>
    <m/>
    <s v="EN OBRA"/>
    <n v="138.72200000000001"/>
    <m/>
    <s v="MARINE"/>
    <x v="1"/>
    <n v="1358143.6"/>
    <n v="258"/>
    <d v="2012-10-30T00:00:00"/>
    <s v="2DA-OCT"/>
    <n v="0.1"/>
    <s v="NO LIBERADO"/>
    <s v="BANCOMER"/>
    <m/>
    <n v="679071.8"/>
    <n v="427815.23400000005"/>
    <n v="251256.56599999999"/>
    <n v="0"/>
    <n v="427815.23400000005"/>
    <s v="65%"/>
    <n v="0.35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4527.1453333333338"/>
    <n v="4527.1453333333338"/>
    <n v="4527.1453333333338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358143.6"/>
  </r>
  <r>
    <n v="220"/>
    <s v="PTA NORTE "/>
    <s v="040102"/>
    <n v="4"/>
    <n v="1"/>
    <n v="2"/>
    <s v="CAMPO ALEGRE"/>
    <m/>
    <s v="EN OBRA"/>
    <n v="130.87899999999999"/>
    <m/>
    <s v="MARINE"/>
    <x v="1"/>
    <n v="1328340.2"/>
    <n v="259"/>
    <d v="2012-10-30T00:00:00"/>
    <s v="2DA-OCT"/>
    <n v="0.1"/>
    <s v="NO LIBERADO"/>
    <s v="BANCOMER"/>
    <m/>
    <n v="664170.1"/>
    <n v="418427.163"/>
    <n v="245742.93699999998"/>
    <n v="0"/>
    <n v="418427.163"/>
    <s v="65%"/>
    <n v="0.35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4427.800666666667"/>
    <n v="4427.800666666667"/>
    <n v="4427.800666666667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328340.2"/>
  </r>
  <r>
    <n v="221"/>
    <s v="PTA NORTE "/>
    <s v="050101"/>
    <n v="5"/>
    <n v="1"/>
    <n v="1"/>
    <s v="TALAVERA"/>
    <m/>
    <s v="EN OBRA"/>
    <n v="80.302999999999997"/>
    <m/>
    <s v="MARINE"/>
    <x v="0"/>
    <n v="1136151.3999999999"/>
    <n v="260"/>
    <d v="2012-12-15T00:00:00"/>
    <s v="2DA-DIC"/>
    <n v="0"/>
    <s v="NO LIBERADO"/>
    <s v="BANCOMER"/>
    <m/>
    <n v="568075.69999999995"/>
    <n v="357887.69099999999"/>
    <n v="210188.00899999996"/>
    <n v="0"/>
    <n v="357887.69099999999"/>
    <s v="65%"/>
    <n v="0.35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87.1713333333332"/>
    <n v="3787.1713333333332"/>
    <n v="3787.1713333333332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6151.3999999999"/>
  </r>
  <r>
    <n v="222"/>
    <s v="PTA NORTE "/>
    <s v="060101"/>
    <n v="6"/>
    <n v="1"/>
    <n v="1"/>
    <s v="TARRAGONA"/>
    <m/>
    <s v="EN OBRA"/>
    <n v="102.812"/>
    <m/>
    <s v="MARINE"/>
    <x v="0"/>
    <n v="1221685.6000000001"/>
    <n v="261"/>
    <d v="2012-12-15T00:00:00"/>
    <s v="2DA-DIC"/>
    <n v="0"/>
    <s v="NO LIBERADO"/>
    <s v="BANCOMER"/>
    <m/>
    <n v="610842.80000000005"/>
    <n v="244337.12000000002"/>
    <n v="366505.68000000005"/>
    <n v="0"/>
    <n v="244337.12000000002"/>
    <s v="40%"/>
    <n v="0.6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4072.2853333333337"/>
    <n v="4072.2853333333337"/>
    <n v="4072.2853333333337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21685.6000000001"/>
  </r>
  <r>
    <n v="223"/>
    <s v="PTA NORTE "/>
    <s v="060102"/>
    <n v="6"/>
    <n v="1"/>
    <n v="2"/>
    <s v="TARRAGONA"/>
    <m/>
    <s v="EN OBRA"/>
    <n v="91.775999999999996"/>
    <m/>
    <s v="AKUA"/>
    <x v="0"/>
    <n v="1170748.8"/>
    <n v="262"/>
    <d v="2012-12-15T00:00:00"/>
    <s v="2DA-DIC"/>
    <n v="0"/>
    <s v="NO LIBERADO"/>
    <s v="BANCOMER"/>
    <m/>
    <n v="585374.4"/>
    <n v="234149.76000000001"/>
    <n v="351224.64"/>
    <n v="0"/>
    <n v="234149.76000000001"/>
    <s v="40%"/>
    <n v="0.6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902.4960000000005"/>
    <n v="3902.4960000000005"/>
    <n v="3902.496000000000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70748.8"/>
  </r>
  <r>
    <n v="224"/>
    <s v="PTA NORTE "/>
    <s v="060103"/>
    <n v="6"/>
    <n v="1"/>
    <n v="3"/>
    <s v="TARRAGONA"/>
    <m/>
    <s v="EN OBRA"/>
    <n v="89.816999999999993"/>
    <m/>
    <s v="AKUA"/>
    <x v="0"/>
    <n v="1163304.6000000001"/>
    <n v="263"/>
    <d v="2012-12-15T00:00:00"/>
    <s v="2DA-DIC"/>
    <n v="0"/>
    <s v="NO LIBERADO"/>
    <s v="BANCOMER"/>
    <m/>
    <n v="581652.30000000005"/>
    <n v="232660.92000000004"/>
    <n v="348991.38"/>
    <n v="0"/>
    <n v="232660.92000000004"/>
    <s v="40%"/>
    <n v="0.6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877.6820000000002"/>
    <n v="3877.6820000000002"/>
    <n v="3877.6820000000002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63304.6000000001"/>
  </r>
  <r>
    <n v="225"/>
    <s v="PTA NORTE "/>
    <s v="060104"/>
    <n v="6"/>
    <n v="1"/>
    <n v="4"/>
    <s v="TARRAGONA"/>
    <m/>
    <s v="EN OBRA"/>
    <n v="87.858999999999995"/>
    <m/>
    <s v="MARINE"/>
    <x v="0"/>
    <n v="1164864.2"/>
    <n v="264"/>
    <d v="2012-12-15T00:00:00"/>
    <s v="2DA-DIC"/>
    <n v="0"/>
    <s v="NO LIBERADO"/>
    <s v="BANCOMER"/>
    <m/>
    <n v="582432.1"/>
    <n v="232972.84"/>
    <n v="349459.26"/>
    <n v="0"/>
    <n v="232972.84"/>
    <s v="40%"/>
    <n v="0.6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882.8806666666665"/>
    <n v="3882.8806666666665"/>
    <n v="3882.8806666666665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64864.2"/>
  </r>
  <r>
    <n v="226"/>
    <s v="PTA NORTE "/>
    <s v="060105"/>
    <n v="6"/>
    <n v="1"/>
    <n v="5"/>
    <s v="TARRAGONA"/>
    <m/>
    <s v="EN OBRA"/>
    <n v="85.900999999999996"/>
    <m/>
    <s v="AKUA"/>
    <x v="0"/>
    <n v="1148423.8"/>
    <n v="265"/>
    <d v="2012-12-15T00:00:00"/>
    <s v="2DA-DIC"/>
    <n v="0"/>
    <s v="NO LIBERADO"/>
    <s v="BANCOMER"/>
    <m/>
    <n v="574211.9"/>
    <n v="229684.76"/>
    <n v="344527.14"/>
    <n v="0"/>
    <n v="229684.76"/>
    <s v="40%"/>
    <n v="0.6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828.0793333333336"/>
    <n v="3828.0793333333336"/>
    <n v="3828.0793333333336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8423.8"/>
  </r>
  <r>
    <n v="227"/>
    <s v="PTA NORTE "/>
    <s v="060106"/>
    <n v="6"/>
    <n v="1"/>
    <n v="6"/>
    <s v="TARRAGONA"/>
    <m/>
    <s v="EN OBRA"/>
    <n v="83.941999999999993"/>
    <m/>
    <s v="AKUA"/>
    <x v="0"/>
    <n v="1140979.5999999999"/>
    <n v="266"/>
    <d v="2012-12-15T00:00:00"/>
    <s v="2DA-DIC"/>
    <n v="0"/>
    <s v="NO LIBERADO"/>
    <s v="BANCOMER"/>
    <m/>
    <n v="570489.79999999993"/>
    <n v="228195.91999999998"/>
    <n v="342293.87999999995"/>
    <n v="0"/>
    <n v="228195.91999999998"/>
    <s v="40%"/>
    <n v="0.6"/>
    <d v="2012-06-23T00:00:00"/>
    <d v="2012-06-23T00:00:00"/>
    <d v="2012-06-2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803.2653333333328"/>
    <n v="3803.2653333333328"/>
    <n v="3803.2653333333328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0979.5999999999"/>
  </r>
  <r>
    <n v="228"/>
    <s v="PTA NORTE "/>
    <s v="060107"/>
    <n v="6"/>
    <n v="1"/>
    <n v="7"/>
    <s v="TARRAGONA"/>
    <m/>
    <s v="EN OBRA"/>
    <n v="81.983999999999995"/>
    <m/>
    <s v="MARINE"/>
    <x v="0"/>
    <n v="1142539.2"/>
    <n v="267"/>
    <d v="2012-12-15T00:00:00"/>
    <s v="2DA-DIC"/>
    <n v="0"/>
    <s v="NO LIBERADO"/>
    <s v="BANCOMER"/>
    <m/>
    <n v="571269.6"/>
    <n v="228507.84"/>
    <n v="342761.76"/>
    <n v="0"/>
    <n v="228507.84"/>
    <s v="40%"/>
    <n v="0.6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808.4639999999999"/>
    <n v="3808.4639999999999"/>
    <n v="3808.4639999999999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2539.2"/>
  </r>
  <r>
    <n v="229"/>
    <s v="PTA NORTE "/>
    <s v="060108"/>
    <n v="6"/>
    <n v="1"/>
    <n v="8"/>
    <s v="TARRAGONA"/>
    <m/>
    <s v="EN OBRA"/>
    <n v="80.025999999999996"/>
    <m/>
    <s v="AKUA"/>
    <x v="0"/>
    <n v="1126098.8"/>
    <n v="268"/>
    <d v="2012-12-15T00:00:00"/>
    <s v="2DA-DIC"/>
    <n v="0"/>
    <s v="NO LIBERADO"/>
    <s v="BANCOMER"/>
    <m/>
    <n v="563049.4"/>
    <n v="225219.76"/>
    <n v="337829.64"/>
    <n v="0"/>
    <n v="225219.76"/>
    <s v="40%"/>
    <n v="0.6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53.6626666666671"/>
    <n v="3753.6626666666671"/>
    <n v="3753.6626666666671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98.8"/>
  </r>
  <r>
    <n v="230"/>
    <s v="PTA NORTE "/>
    <s v="060109"/>
    <n v="6"/>
    <n v="1"/>
    <n v="9"/>
    <s v="TARRAGONA"/>
    <m/>
    <s v="EN OBRA"/>
    <n v="81.149000000000001"/>
    <m/>
    <s v="AKUA"/>
    <x v="0"/>
    <n v="1130366.2"/>
    <n v="269"/>
    <d v="2012-12-15T00:00:00"/>
    <s v="2DA-DIC"/>
    <n v="0"/>
    <s v="NO LIBERADO"/>
    <s v="BANCOMER"/>
    <m/>
    <n v="565183.1"/>
    <n v="226073.24"/>
    <n v="339109.86"/>
    <n v="0"/>
    <n v="226073.24"/>
    <s v="40%"/>
    <n v="0.6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767.8873333333336"/>
    <n v="3767.8873333333336"/>
    <n v="3767.8873333333336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0366.2"/>
  </r>
  <r>
    <n v="231"/>
    <s v="PTA NORTE "/>
    <s v="060110"/>
    <n v="6"/>
    <n v="1"/>
    <n v="10"/>
    <s v="TARRAGONA"/>
    <m/>
    <s v="EN OBRA"/>
    <n v="82.01"/>
    <m/>
    <s v="MARINE"/>
    <x v="0"/>
    <n v="1142638"/>
    <n v="270"/>
    <d v="2012-12-15T00:00:00"/>
    <s v="2DA-DIC"/>
    <n v="0"/>
    <s v="NO LIBERADO"/>
    <s v="BANCOMER"/>
    <m/>
    <n v="571319"/>
    <n v="228527.6"/>
    <n v="342791.4"/>
    <n v="0"/>
    <n v="228527.6"/>
    <s v="40%"/>
    <n v="0.6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808.7933333333335"/>
    <n v="3808.7933333333335"/>
    <n v="3808.7933333333335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2638"/>
  </r>
  <r>
    <n v="232"/>
    <s v="PTA NORTE "/>
    <s v="060111"/>
    <n v="6"/>
    <n v="1"/>
    <n v="11"/>
    <s v="TALAVERA"/>
    <m/>
    <s v="EN OBRA"/>
    <n v="147.453"/>
    <m/>
    <s v="MARINE"/>
    <x v="0"/>
    <n v="1391321.4"/>
    <n v="271"/>
    <d v="2012-12-15T00:00:00"/>
    <s v="2DA-DIC"/>
    <n v="0"/>
    <s v="NO LIBERADO"/>
    <s v="BANCOMER"/>
    <m/>
    <n v="695660.7"/>
    <n v="278264.27999999997"/>
    <n v="417396.42"/>
    <n v="0"/>
    <n v="278264.27999999997"/>
    <s v="40%"/>
    <n v="0.6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4637.7380000000003"/>
    <n v="4637.7380000000003"/>
    <n v="4637.7380000000003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391321.4"/>
  </r>
  <r>
    <n v="233"/>
    <s v="PTA NORTE "/>
    <s v="060112"/>
    <n v="6"/>
    <n v="1"/>
    <n v="12"/>
    <s v="TALAVERA"/>
    <m/>
    <s v="EN OBRA"/>
    <n v="91.872"/>
    <m/>
    <s v="AKUA"/>
    <x v="0"/>
    <n v="1171113.6000000001"/>
    <n v="272"/>
    <d v="2012-12-15T00:00:00"/>
    <s v="2DA-DIC"/>
    <n v="0"/>
    <s v="NO LIBERADO"/>
    <s v="BANCOMER"/>
    <m/>
    <n v="585556.80000000005"/>
    <n v="117111.36000000002"/>
    <n v="468445.44000000006"/>
    <n v="0"/>
    <n v="117111.36000000002"/>
    <s v="20%"/>
    <n v="0.8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x v="5"/>
    <m/>
    <m/>
    <m/>
    <m/>
    <m/>
    <m/>
    <m/>
    <m/>
    <m/>
    <m/>
    <m/>
    <m/>
    <n v="0.01"/>
    <n v="3903.712"/>
    <n v="3903.712"/>
    <n v="3903.712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71113.6000000001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07T00:00:00"/>
    <d v="2012-07-07T00:00:00"/>
    <d v="2012-07-07T00:00:00"/>
    <d v="2012-05-14T00:00:00"/>
    <s v="MAYOR A 2 MESES"/>
    <s v="ROSA ROSAS SANCHEZ"/>
    <m/>
    <m/>
    <m/>
    <m/>
    <m/>
    <m/>
    <m/>
    <m/>
    <m/>
    <s v="SEM 20"/>
    <s v="MAY"/>
    <n v="14500"/>
    <s v="ENTRE 12 Y 18 MIL"/>
    <s v="RECOMENDADO"/>
    <s v="POR CERRAR"/>
    <s v="COFINAVIT"/>
    <s v="AR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21 A 25 DIAS"/>
    <s v="DE 21 A 25 DIAS"/>
    <s v="DE 21 A 2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03T00:00:00"/>
    <d v="2012-07-03T00:00:00"/>
    <d v="2012-07-03T00:00:00"/>
    <d v="2012-06-07T00:00:00"/>
    <s v="8VA SEM"/>
    <s v="GABRIELA ELIZONDO VELASCO"/>
    <m/>
    <m/>
    <m/>
    <m/>
    <m/>
    <m/>
    <m/>
    <m/>
    <m/>
    <s v="SEM 23"/>
    <s v="JUN"/>
    <n v="17000"/>
    <s v="ENTRE 12 Y 18 MIL"/>
    <s v="PUBLICIDAD"/>
    <s v="NO PERFILADO"/>
    <s v="ALIA2"/>
    <s v="AR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26 A 29 DIAS"/>
    <s v="DE 26 A 29 DIAS"/>
    <s v="DE 26 A 29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02T00:00:00"/>
    <d v="2012-07-02T00:00:00"/>
    <d v="2012-07-02T00:00:00"/>
    <d v="2012-05-30T00:00:00"/>
    <s v="MAYOR A 2 MESES"/>
    <s v="JAVIER GARCIA ARIAS"/>
    <m/>
    <m/>
    <m/>
    <m/>
    <m/>
    <m/>
    <m/>
    <m/>
    <m/>
    <s v="SEM 22"/>
    <s v="MAY"/>
    <n v="24000"/>
    <s v="ENTRE 18 Y 25 MIL"/>
    <s v="PUBLICIDAD"/>
    <s v="SIN INTERES"/>
    <s v="BANCOS"/>
    <s v="AMG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30 DIAS"/>
    <s v="30 DIAS"/>
    <s v="3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28T00:00:00"/>
    <d v="2012-06-28T00:00:00"/>
    <d v="2012-06-28T00:00:00"/>
    <d v="2012-05-14T00:00:00"/>
    <s v="MAYOR A 2 MESES"/>
    <s v="ALBERTO LEDEZMA OLEA"/>
    <m/>
    <m/>
    <m/>
    <m/>
    <m/>
    <m/>
    <m/>
    <m/>
    <m/>
    <s v="SEM 20"/>
    <s v="MAY"/>
    <n v="80000"/>
    <s v="MAYOR A 45 MILES"/>
    <s v="PUBLICIDAD"/>
    <s v="NO PERFILADO"/>
    <s v="BANCOS"/>
    <s v="AMG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23T00:00:00"/>
    <d v="2012-06-23T00:00:00"/>
    <d v="2012-06-23T00:00:00"/>
    <d v="2012-05-30T00:00:00"/>
    <s v="MAYOR A 2 MESES"/>
    <s v="ESTEFANIA ENRIQUEZ SANCHEZ"/>
    <m/>
    <m/>
    <m/>
    <m/>
    <m/>
    <m/>
    <m/>
    <m/>
    <m/>
    <s v="SEM 22"/>
    <s v="MAY"/>
    <n v="24000"/>
    <s v="ENTRE 18 Y 25 MIL"/>
    <s v="PUBLICIDAD"/>
    <s v="SIN INTERES"/>
    <s v="BANCOS"/>
    <s v="AMG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17T00:00:00"/>
    <d v="2012-06-17T00:00:00"/>
    <d v="2012-06-17T00:00:00"/>
    <d v="2012-05-30T00:00:00"/>
    <s v="MAYOR A 2 MESES"/>
    <s v="ANA DE ANDA PEREZ"/>
    <m/>
    <m/>
    <m/>
    <m/>
    <m/>
    <m/>
    <m/>
    <m/>
    <m/>
    <s v="SEM 22"/>
    <s v="MAY"/>
    <n v="22000"/>
    <s v="ENTRE 18 Y 25 MIL"/>
    <s v="PUBLICIDAD"/>
    <s v="NO PERFILADO"/>
    <s v="ALIA2"/>
    <s v="AMG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12T00:00:00"/>
    <d v="2012-06-12T00:00:00"/>
    <d v="2012-06-12T00:00:00"/>
    <d v="2012-07-01T00:00:00"/>
    <s v="5TA SEM"/>
    <s v="ROSA ORTIZ ROSAS"/>
    <m/>
    <m/>
    <m/>
    <m/>
    <m/>
    <m/>
    <m/>
    <m/>
    <m/>
    <s v="SEM 27"/>
    <s v="JUL"/>
    <n v="17000"/>
    <s v="ENTRE 12 Y 18 MIL"/>
    <s v="VENDEDOR"/>
    <s v="SIN INTERES"/>
    <s v="ALIA2"/>
    <s v="SNM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28T00:00:00"/>
    <d v="2012-07-28T00:00:00"/>
    <d v="2012-07-28T00:00:00"/>
    <d v="2012-03-30T00:00:00"/>
    <s v="MAYOR A 2 MESES"/>
    <s v="IVONNE BECERRA WIBON"/>
    <m/>
    <m/>
    <m/>
    <m/>
    <m/>
    <m/>
    <m/>
    <m/>
    <m/>
    <s v="SEM 13"/>
    <s v="MAR"/>
    <n v="12000"/>
    <s v="HASTA 12 MIL"/>
    <s v="FRACCIONAMIENTO"/>
    <s v="SIN INTERES"/>
    <s v="ALIA2"/>
    <s v="SNM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23T00:00:00"/>
    <d v="2012-07-23T00:00:00"/>
    <d v="2012-07-23T00:00:00"/>
    <d v="2012-05-14T00:00:00"/>
    <s v="MAYOR A 2 MESES"/>
    <s v="JOSE DEL TORO CARTER"/>
    <m/>
    <m/>
    <m/>
    <m/>
    <m/>
    <m/>
    <m/>
    <m/>
    <m/>
    <s v="SEM 20"/>
    <s v="MAY"/>
    <n v="32000"/>
    <s v="ENTRE 25 Y 35 MIL"/>
    <s v="EXPO"/>
    <s v="POR CERRAR"/>
    <s v="ALIA2"/>
    <s v="SNM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6 A 10 DIAS"/>
    <s v="DE 6 A 10 DIAS"/>
    <s v="DE 6 A 1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18T00:00:00"/>
    <d v="2012-07-18T00:00:00"/>
    <d v="2012-07-18T00:00:00"/>
    <d v="2012-06-07T00:00:00"/>
    <s v="8VA SEM"/>
    <s v="JAVIER SANCHEZ DEL TORO"/>
    <m/>
    <m/>
    <m/>
    <m/>
    <m/>
    <m/>
    <m/>
    <m/>
    <m/>
    <s v="SEM 23"/>
    <s v="JUN"/>
    <n v="7000"/>
    <s v="HASTA 12 MIL"/>
    <s v="BASE DE DATOS"/>
    <s v="POR CERRAR"/>
    <s v="ALIA2"/>
    <s v="MJV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11 A 15 DIAS"/>
    <s v="DE 11 A 15 DIAS"/>
    <s v="DE 11 A 1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13T00:00:00"/>
    <d v="2012-07-13T00:00:00"/>
    <d v="2012-07-13T00:00:00"/>
    <d v="2012-06-07T00:00:00"/>
    <s v="8VA SEM"/>
    <s v="LUIS CORTES ARAGON"/>
    <m/>
    <m/>
    <m/>
    <m/>
    <m/>
    <m/>
    <m/>
    <m/>
    <m/>
    <s v="SEM 23"/>
    <s v="JUN"/>
    <n v="8000"/>
    <s v="HASTA 12 MIL"/>
    <s v="RECOMENDADO"/>
    <s v="POR CERRAR"/>
    <s v="OTROS"/>
    <s v="MJV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07T00:00:00"/>
    <d v="2012-07-07T00:00:00"/>
    <d v="2012-07-07T00:00:00"/>
    <d v="2012-05-14T00:00:00"/>
    <s v="MAYOR A 2 MESES"/>
    <s v="JUAN RAZO DIAZ"/>
    <m/>
    <m/>
    <m/>
    <m/>
    <m/>
    <m/>
    <m/>
    <m/>
    <m/>
    <s v="SEM 20"/>
    <s v="MAY"/>
    <n v="15000"/>
    <s v="ENTRE 12 Y 18 MIL"/>
    <s v="RECOMENDADO"/>
    <s v="POR CERRAR"/>
    <s v="OTROS"/>
    <s v="MRV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21 A 25 DIAS"/>
    <s v="DE 21 A 25 DIAS"/>
    <s v="DE 21 A 2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03T00:00:00"/>
    <d v="2012-07-03T00:00:00"/>
    <d v="2012-07-03T00:00:00"/>
    <d v="2012-07-11T00:00:00"/>
    <s v="3RA SEM"/>
    <s v="JUAN SANCHEZ ALDANA"/>
    <m/>
    <m/>
    <m/>
    <m/>
    <m/>
    <m/>
    <m/>
    <m/>
    <m/>
    <s v="SEM 28"/>
    <s v="JUL"/>
    <n v="21000"/>
    <s v="ENTRE 18 Y 25 MIL"/>
    <s v="RECOMENDADO"/>
    <s v="POR CERRAR"/>
    <s v="IPEJAL"/>
    <s v="MRV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26 A 29 DIAS"/>
    <s v="DE 26 A 29 DIAS"/>
    <s v="DE 26 A 29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02T00:00:00"/>
    <d v="2012-07-02T00:00:00"/>
    <d v="2012-07-02T00:00:00"/>
    <d v="2012-06-07T00:00:00"/>
    <s v="8VA SEM"/>
    <s v="RODRIGO MEDINA ALCAR"/>
    <m/>
    <m/>
    <m/>
    <m/>
    <m/>
    <m/>
    <m/>
    <m/>
    <m/>
    <s v="SEM 23"/>
    <s v="JUN"/>
    <n v="44000"/>
    <s v="ENTRE 35 Y 45 MIL"/>
    <s v="RECOMENDADO"/>
    <s v="POR CERRAR"/>
    <s v="INFONAVIT"/>
    <s v="SNM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30 DIAS"/>
    <s v="30 DIAS"/>
    <s v="3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28T00:00:00"/>
    <d v="2012-06-28T00:00:00"/>
    <d v="2012-06-28T00:00:00"/>
    <d v="2012-06-07T00:00:00"/>
    <s v="8VA SEM"/>
    <s v="ROSA DIEZ NUÑO"/>
    <m/>
    <m/>
    <m/>
    <m/>
    <m/>
    <m/>
    <m/>
    <m/>
    <m/>
    <s v="SEM 23"/>
    <s v="JUN"/>
    <n v="17000"/>
    <s v="ENTRE 12 Y 18 MIL"/>
    <s v="ACTIVACION"/>
    <s v="POR CERRAR"/>
    <s v="INFONAVIT"/>
    <s v="AR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23T00:00:00"/>
    <d v="2012-06-23T00:00:00"/>
    <d v="2012-06-23T00:00:00"/>
    <d v="2012-06-07T00:00:00"/>
    <s v="8VA SEM"/>
    <s v="GERARDO MEZA SOLIS"/>
    <m/>
    <m/>
    <m/>
    <m/>
    <m/>
    <m/>
    <m/>
    <m/>
    <m/>
    <s v="SEM 23"/>
    <s v="JUN"/>
    <n v="23000"/>
    <s v="ENTRE 18 Y 25 MIL"/>
    <s v="ACTIVACION"/>
    <s v="POR CERRAR"/>
    <s v="COFINAVIT"/>
    <s v="AR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17T00:00:00"/>
    <d v="2012-06-17T00:00:00"/>
    <d v="2012-06-17T00:00:00"/>
    <d v="2012-07-01T00:00:00"/>
    <s v="5TA SEM"/>
    <s v="BRENDA ARAGON PEZ"/>
    <m/>
    <m/>
    <m/>
    <m/>
    <m/>
    <m/>
    <m/>
    <m/>
    <m/>
    <s v="SEM 27"/>
    <s v="JUL"/>
    <n v="12000"/>
    <s v="HASTA 12 MIL"/>
    <s v="FRACCIONAMIENTO"/>
    <s v="NO PERFILADO"/>
    <s v="COFINAVIT"/>
    <s v="AR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12T00:00:00"/>
    <d v="2012-06-12T00:00:00"/>
    <d v="2012-06-12T00:00:00"/>
    <d v="2012-07-01T00:00:00"/>
    <s v="5TA SEM"/>
    <s v="ALEJANDRA ORTIZ SOLA"/>
    <m/>
    <m/>
    <m/>
    <m/>
    <m/>
    <m/>
    <m/>
    <m/>
    <m/>
    <s v="SEM 27"/>
    <s v="JUL"/>
    <n v="12000"/>
    <s v="HASTA 12 MIL"/>
    <s v="FRACCIONAMIENTO"/>
    <s v="NO PERFILADO"/>
    <s v="COFINAVIT"/>
    <s v="AMG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28T00:00:00"/>
    <d v="2012-07-28T00:00:00"/>
    <d v="2012-07-28T00:00:00"/>
    <d v="2012-04-14T00:00:00"/>
    <s v="MAYOR A 2 MESES"/>
    <s v="ANDREA CASTELLANOS ROCHA"/>
    <m/>
    <m/>
    <m/>
    <m/>
    <m/>
    <m/>
    <m/>
    <m/>
    <m/>
    <s v="SEM 15"/>
    <s v="ABR"/>
    <n v="8500"/>
    <s v="HASTA 12 MIL"/>
    <s v="VENDEDOR"/>
    <s v="NO PERFILADO"/>
    <s v="COFINAVIT"/>
    <s v="AMG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23T00:00:00"/>
    <d v="2012-07-23T00:00:00"/>
    <d v="2012-07-23T00:00:00"/>
    <d v="2012-04-14T00:00:00"/>
    <s v="MAYOR A 2 MESES"/>
    <s v="ALBERTO SUCAR MIGUEL"/>
    <m/>
    <m/>
    <m/>
    <m/>
    <m/>
    <m/>
    <m/>
    <m/>
    <m/>
    <s v="SEM 15"/>
    <s v="ABR"/>
    <n v="14500"/>
    <s v="ENTRE 12 Y 18 MIL"/>
    <s v="VENDEDOR"/>
    <s v="CANCELADO"/>
    <s v="COFINAVIT"/>
    <s v="AMG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6 A 10 DIAS"/>
    <s v="DE 6 A 10 DIAS"/>
    <s v="DE 6 A 1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18T00:00:00"/>
    <d v="2012-07-18T00:00:00"/>
    <d v="2012-07-18T00:00:00"/>
    <d v="2012-04-20T00:00:00"/>
    <s v="MAYOR A 2 MESES"/>
    <s v="JAVIER SANCHEZ GONZALEZ"/>
    <m/>
    <m/>
    <m/>
    <m/>
    <m/>
    <m/>
    <m/>
    <m/>
    <m/>
    <s v="SEM 16"/>
    <s v="ABR"/>
    <n v="17000"/>
    <s v="ENTRE 12 Y 18 MIL"/>
    <s v="ACTIVACION"/>
    <s v="CANCELADO"/>
    <s v="INFONAVIT"/>
    <s v="AMG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11 A 15 DIAS"/>
    <s v="DE 11 A 15 DIAS"/>
    <s v="DE 11 A 1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13T00:00:00"/>
    <d v="2012-07-13T00:00:00"/>
    <d v="2012-07-13T00:00:00"/>
    <d v="2012-04-26T00:00:00"/>
    <s v="MAYOR A 2 MESES"/>
    <s v="ROSA ROSAS SANCHEZ"/>
    <m/>
    <m/>
    <m/>
    <m/>
    <m/>
    <m/>
    <m/>
    <m/>
    <m/>
    <s v="SEM 17"/>
    <s v="ABR"/>
    <n v="24000"/>
    <s v="ENTRE 18 Y 25 MIL"/>
    <s v="RECOMENDADO"/>
    <s v="POR CERRAR"/>
    <s v="COFINAVIT"/>
    <s v="SNM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07T00:00:00"/>
    <d v="2012-07-07T00:00:00"/>
    <d v="2012-07-07T00:00:00"/>
    <d v="2012-05-02T00:00:00"/>
    <s v="MAYOR A 2 MESES"/>
    <s v="GABRIELA ELIZONDO VELASCO"/>
    <m/>
    <m/>
    <m/>
    <m/>
    <m/>
    <m/>
    <m/>
    <m/>
    <m/>
    <s v="SEM 18"/>
    <s v="MAY"/>
    <n v="80000"/>
    <s v="MAYOR A 45 MILES"/>
    <s v="PUBLICIDAD"/>
    <s v="NO PERFILADO"/>
    <s v="ALIA2"/>
    <s v="SNM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21 A 25 DIAS"/>
    <s v="DE 21 A 25 DIAS"/>
    <s v="DE 21 A 2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03T00:00:00"/>
    <d v="2012-07-03T00:00:00"/>
    <d v="2012-07-03T00:00:00"/>
    <d v="2012-05-08T00:00:00"/>
    <s v="MAYOR A 2 MESES"/>
    <s v="JAVIER GARCIA ARIAS"/>
    <m/>
    <m/>
    <m/>
    <m/>
    <m/>
    <m/>
    <m/>
    <m/>
    <m/>
    <s v="SEM 19"/>
    <s v="MAY"/>
    <n v="24000"/>
    <s v="ENTRE 18 Y 25 MIL"/>
    <s v="PUBLICIDAD"/>
    <s v="SIN INTERES"/>
    <s v="BANCOS"/>
    <s v="SNM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26 A 29 DIAS"/>
    <s v="DE 26 A 29 DIAS"/>
    <s v="DE 26 A 29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02T00:00:00"/>
    <d v="2012-07-02T00:00:00"/>
    <d v="2012-07-02T00:00:00"/>
    <d v="2012-05-14T00:00:00"/>
    <s v="MAYOR A 2 MESES"/>
    <s v="ALBERTO LEDEZMA OLEA"/>
    <m/>
    <m/>
    <m/>
    <m/>
    <m/>
    <m/>
    <m/>
    <m/>
    <m/>
    <s v="SEM 20"/>
    <s v="MAY"/>
    <n v="22000"/>
    <s v="ENTRE 18 Y 25 MIL"/>
    <s v="PUBLICIDAD"/>
    <s v="NO PERFILADO"/>
    <s v="BANCOS"/>
    <s v="MJV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30 DIAS"/>
    <s v="30 DIAS"/>
    <s v="3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28T00:00:00"/>
    <d v="2012-06-28T00:00:00"/>
    <d v="2012-06-28T00:00:00"/>
    <d v="2012-05-20T00:00:00"/>
    <s v="MAYOR A 2 MESES"/>
    <s v="ESTEFANIA ENRIQUEZ SANCHEZ"/>
    <m/>
    <m/>
    <m/>
    <m/>
    <m/>
    <m/>
    <m/>
    <m/>
    <m/>
    <s v="SEM 21"/>
    <s v="MAY"/>
    <n v="17000"/>
    <s v="ENTRE 12 Y 18 MIL"/>
    <s v="PUBLICIDAD"/>
    <s v="SIN INTERES"/>
    <s v="BANCOS"/>
    <s v="MJV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23T00:00:00"/>
    <d v="2012-06-23T00:00:00"/>
    <d v="2012-06-23T00:00:00"/>
    <d v="2012-05-26T00:00:00"/>
    <s v="MAYOR A 2 MESES"/>
    <s v="ANA DE ANDA PEREZ"/>
    <m/>
    <m/>
    <m/>
    <m/>
    <m/>
    <m/>
    <m/>
    <m/>
    <m/>
    <s v="SEM 21"/>
    <s v="MAY"/>
    <n v="12000"/>
    <s v="HASTA 12 MIL"/>
    <s v="PUBLICIDAD"/>
    <s v="NO PERFILADO"/>
    <s v="ALIA2"/>
    <s v="MRV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17T00:00:00"/>
    <d v="2012-06-17T00:00:00"/>
    <d v="2012-06-17T00:00:00"/>
    <d v="2012-06-01T00:00:00"/>
    <s v="MAYOR A 2 MESES"/>
    <s v="ROSA ORTIZ ROSAS"/>
    <m/>
    <m/>
    <m/>
    <m/>
    <m/>
    <m/>
    <m/>
    <m/>
    <m/>
    <s v="SEM 22"/>
    <s v="JUN"/>
    <n v="32000"/>
    <s v="ENTRE 25 Y 35 MIL"/>
    <s v="VENDEDOR"/>
    <s v="SIN INTERES"/>
    <s v="ALIA2"/>
    <s v="MRV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12T00:00:00"/>
    <d v="2012-06-12T00:00:00"/>
    <d v="2012-06-12T00:00:00"/>
    <d v="2012-06-07T00:00:00"/>
    <s v="8VA SEM"/>
    <s v="IVONNE BECERRA WIBON"/>
    <m/>
    <m/>
    <m/>
    <m/>
    <m/>
    <m/>
    <m/>
    <m/>
    <m/>
    <s v="SEM 23"/>
    <s v="JUN"/>
    <n v="7000"/>
    <s v="HASTA 12 MIL"/>
    <s v="FRACCIONAMIENTO"/>
    <s v="SIN INTERES"/>
    <s v="ALIA2"/>
    <s v="SNM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28T00:00:00"/>
    <d v="2012-07-28T00:00:00"/>
    <d v="2012-07-28T00:00:00"/>
    <d v="2012-06-13T00:00:00"/>
    <s v="7MA SEM"/>
    <s v="JOSE DEL TORO CARTER"/>
    <m/>
    <m/>
    <m/>
    <m/>
    <m/>
    <m/>
    <m/>
    <m/>
    <m/>
    <s v="SEM 24"/>
    <s v="JUN"/>
    <n v="8000"/>
    <s v="HASTA 12 MIL"/>
    <s v="EXPO"/>
    <s v="POR CERRAR"/>
    <s v="ALIA2"/>
    <s v="AR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23T00:00:00"/>
    <d v="2012-07-23T00:00:00"/>
    <d v="2012-07-23T00:00:00"/>
    <d v="2012-06-20T00:00:00"/>
    <s v="6TA SEM"/>
    <s v="JAVIER SANCHEZ DEL TORO"/>
    <m/>
    <m/>
    <m/>
    <m/>
    <m/>
    <m/>
    <m/>
    <m/>
    <m/>
    <s v="SEM 25"/>
    <s v="JUN"/>
    <n v="15000"/>
    <s v="ENTRE 12 Y 18 MIL"/>
    <s v="BASE DE DATOS"/>
    <s v="POR CERRAR"/>
    <s v="ALIA2"/>
    <s v="AR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6 A 10 DIAS"/>
    <s v="DE 6 A 10 DIAS"/>
    <s v="DE 6 A 1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18T00:00:00"/>
    <d v="2012-07-18T00:00:00"/>
    <d v="2012-07-18T00:00:00"/>
    <d v="2012-06-20T00:00:00"/>
    <s v="6TA SEM"/>
    <s v="LUIS CORTES ARAGON"/>
    <m/>
    <m/>
    <m/>
    <m/>
    <m/>
    <m/>
    <m/>
    <m/>
    <m/>
    <s v="SEM 25"/>
    <s v="JUN"/>
    <n v="21000"/>
    <s v="ENTRE 18 Y 25 MIL"/>
    <s v="RECOMENDADO"/>
    <s v="POR CERRAR"/>
    <s v="OTROS"/>
    <s v="AR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11 A 15 DIAS"/>
    <s v="DE 11 A 15 DIAS"/>
    <s v="DE 11 A 1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13T00:00:00"/>
    <d v="2012-07-13T00:00:00"/>
    <d v="2012-07-13T00:00:00"/>
    <d v="2012-06-20T00:00:00"/>
    <s v="6TA SEM"/>
    <s v="JUAN RAZO DIAZ"/>
    <m/>
    <m/>
    <m/>
    <m/>
    <m/>
    <m/>
    <m/>
    <m/>
    <m/>
    <s v="SEM 25"/>
    <s v="JUN"/>
    <n v="44000"/>
    <s v="ENTRE 35 Y 45 MIL"/>
    <s v="RECOMENDADO"/>
    <s v="POR CERRAR"/>
    <s v="OTROS"/>
    <s v="AMG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07T00:00:00"/>
    <d v="2012-07-07T00:00:00"/>
    <d v="2012-07-07T00:00:00"/>
    <d v="2012-06-20T00:00:00"/>
    <s v="6TA SEM"/>
    <s v="JUAN SANCHEZ ALDANA"/>
    <m/>
    <m/>
    <m/>
    <m/>
    <m/>
    <m/>
    <m/>
    <m/>
    <m/>
    <s v="SEM 25"/>
    <s v="JUN"/>
    <n v="17000"/>
    <s v="ENTRE 12 Y 18 MIL"/>
    <s v="RECOMENDADO"/>
    <s v="POR CERRAR"/>
    <s v="IPEJAL"/>
    <s v="AMG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21 A 25 DIAS"/>
    <s v="DE 21 A 25 DIAS"/>
    <s v="DE 21 A 2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03T00:00:00"/>
    <d v="2012-07-03T00:00:00"/>
    <d v="2012-07-03T00:00:00"/>
    <d v="2012-06-25T00:00:00"/>
    <s v="6TA SEM"/>
    <s v="RODRIGO MEDINA ALCAR"/>
    <m/>
    <m/>
    <m/>
    <m/>
    <m/>
    <m/>
    <m/>
    <m/>
    <m/>
    <s v="SEM 26"/>
    <s v="JUN"/>
    <n v="23000"/>
    <s v="ENTRE 18 Y 25 MIL"/>
    <s v="RECOMENDADO"/>
    <s v="POR CERRAR"/>
    <s v="INFONAVIT"/>
    <s v="AMG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26 A 29 DIAS"/>
    <s v="DE 26 A 29 DIAS"/>
    <s v="DE 26 A 29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02T00:00:00"/>
    <d v="2012-07-02T00:00:00"/>
    <d v="2012-07-02T00:00:00"/>
    <d v="2012-06-25T00:00:00"/>
    <s v="6TA SEM"/>
    <s v="ROSA DIEZ NUÑO"/>
    <m/>
    <m/>
    <m/>
    <m/>
    <m/>
    <m/>
    <m/>
    <m/>
    <m/>
    <s v="SEM 26"/>
    <s v="JUN"/>
    <n v="12000"/>
    <s v="HASTA 12 MIL"/>
    <s v="ACTIVACION"/>
    <s v="POR CERRAR"/>
    <s v="INFONAVIT"/>
    <s v="AMG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30 DIAS"/>
    <s v="30 DIAS"/>
    <s v="3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28T00:00:00"/>
    <d v="2012-06-28T00:00:00"/>
    <d v="2012-06-28T00:00:00"/>
    <d v="2012-06-25T00:00:00"/>
    <s v="6TA SEM"/>
    <s v="GERARDO MEZA SOLIS"/>
    <m/>
    <m/>
    <m/>
    <m/>
    <m/>
    <m/>
    <m/>
    <m/>
    <m/>
    <s v="SEM 26"/>
    <s v="JUN"/>
    <n v="12000"/>
    <s v="HASTA 12 MIL"/>
    <s v="ACTIVACION"/>
    <s v="POR CERRAR"/>
    <s v="COFINAVIT"/>
    <s v="SNM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23T00:00:00"/>
    <d v="2012-06-23T00:00:00"/>
    <d v="2012-06-23T00:00:00"/>
    <d v="2012-06-25T00:00:00"/>
    <s v="6TA SEM"/>
    <s v="BRENDA ARAGON PEZ"/>
    <m/>
    <m/>
    <m/>
    <m/>
    <m/>
    <m/>
    <m/>
    <m/>
    <m/>
    <s v="SEM 26"/>
    <s v="JUN"/>
    <n v="8500"/>
    <s v="HASTA 12 MIL"/>
    <s v="FRACCIONAMIENTO"/>
    <s v="NO PERFILADO"/>
    <s v="COFINAVIT"/>
    <s v="SNM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17T00:00:00"/>
    <d v="2012-06-17T00:00:00"/>
    <d v="2012-06-17T00:00:00"/>
    <d v="2012-06-25T00:00:00"/>
    <s v="6TA SEM"/>
    <s v="ALEJANDRA ORTIZ SOLA"/>
    <m/>
    <m/>
    <m/>
    <m/>
    <m/>
    <m/>
    <m/>
    <m/>
    <m/>
    <s v="SEM 26"/>
    <s v="JUN"/>
    <n v="14500"/>
    <s v="ENTRE 12 Y 18 MIL"/>
    <s v="FRACCIONAMIENTO"/>
    <s v="NO PERFILADO"/>
    <s v="COFINAVIT"/>
    <s v="SNM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12T00:00:00"/>
    <d v="2012-06-12T00:00:00"/>
    <d v="2012-06-12T00:00:00"/>
    <d v="2012-06-25T00:00:00"/>
    <s v="6TA SEM"/>
    <s v="ANDREA CASTELLANOS ROCHA"/>
    <m/>
    <m/>
    <m/>
    <m/>
    <m/>
    <m/>
    <m/>
    <m/>
    <m/>
    <s v="SEM 26"/>
    <s v="JUN"/>
    <n v="17000"/>
    <s v="ENTRE 12 Y 18 MIL"/>
    <s v="VENDEDOR"/>
    <s v="NO PERFILADO"/>
    <s v="COFINAVIT"/>
    <s v="MJV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28T00:00:00"/>
    <d v="2012-07-28T00:00:00"/>
    <d v="2012-07-28T00:00:00"/>
    <d v="2012-07-02T00:00:00"/>
    <s v="5TA SEM"/>
    <s v="ALBERTO SUCAR MIGUEL"/>
    <m/>
    <m/>
    <m/>
    <m/>
    <m/>
    <m/>
    <m/>
    <m/>
    <m/>
    <s v="SEM 27"/>
    <s v="JUL"/>
    <n v="24000"/>
    <s v="ENTRE 18 Y 25 MIL"/>
    <s v="VENDEDOR"/>
    <s v="CANCELADO"/>
    <s v="COFINAVIT"/>
    <s v="MJV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23T00:00:00"/>
    <d v="2012-07-23T00:00:00"/>
    <d v="2012-07-23T00:00:00"/>
    <d v="2012-07-02T00:00:00"/>
    <s v="5TA SEM"/>
    <s v="JAVIER SANCHEZ GONZALEZ"/>
    <m/>
    <m/>
    <m/>
    <m/>
    <m/>
    <m/>
    <m/>
    <m/>
    <m/>
    <s v="SEM 27"/>
    <s v="JUL"/>
    <n v="80000"/>
    <s v="MAYOR A 45 MILES"/>
    <s v="ACTIVACION"/>
    <s v="CANCELADO"/>
    <s v="INFONAVIT"/>
    <s v="MRV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6 A 10 DIAS"/>
    <s v="DE 6 A 10 DIAS"/>
    <s v="DE 6 A 1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18T00:00:00"/>
    <d v="2012-07-18T00:00:00"/>
    <d v="2012-07-18T00:00:00"/>
    <d v="2012-07-02T00:00:00"/>
    <s v="5TA SEM"/>
    <s v="ROSA ROSAS SANCHEZ"/>
    <m/>
    <m/>
    <m/>
    <m/>
    <m/>
    <m/>
    <m/>
    <m/>
    <m/>
    <s v="SEM 27"/>
    <s v="JUL"/>
    <n v="24000"/>
    <s v="ENTRE 18 Y 25 MIL"/>
    <s v="RECOMENDADO"/>
    <s v="POR CERRAR"/>
    <s v="COFINAVIT"/>
    <s v="MRV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11 A 15 DIAS"/>
    <s v="DE 11 A 15 DIAS"/>
    <s v="DE 11 A 1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13T00:00:00"/>
    <d v="2012-07-13T00:00:00"/>
    <d v="2012-07-13T00:00:00"/>
    <d v="2012-07-02T00:00:00"/>
    <s v="5TA SEM"/>
    <s v="GABRIELA ELIZONDO VELASCO"/>
    <m/>
    <m/>
    <m/>
    <m/>
    <m/>
    <m/>
    <m/>
    <m/>
    <m/>
    <s v="SEM 27"/>
    <s v="JUL"/>
    <n v="44000"/>
    <s v="ENTRE 35 Y 45 MIL"/>
    <s v="PUBLICIDAD"/>
    <s v="NO PERFILADO"/>
    <s v="ALIA2"/>
    <s v="SNM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07T00:00:00"/>
    <d v="2012-07-07T00:00:00"/>
    <d v="2012-07-07T00:00:00"/>
    <d v="2012-07-05T00:00:00"/>
    <s v="4TA SEM"/>
    <s v="JAVIER GARCIA ARIAS"/>
    <m/>
    <m/>
    <m/>
    <m/>
    <m/>
    <m/>
    <m/>
    <m/>
    <m/>
    <s v="SEM 27"/>
    <s v="JUL"/>
    <n v="17000"/>
    <s v="ENTRE 12 Y 18 MIL"/>
    <s v="PUBLICIDAD"/>
    <s v="SIN INTERES"/>
    <s v="BANCOS"/>
    <s v="AR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21 A 25 DIAS"/>
    <s v="DE 21 A 25 DIAS"/>
    <s v="DE 21 A 2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03T00:00:00"/>
    <d v="2012-07-03T00:00:00"/>
    <d v="2012-07-03T00:00:00"/>
    <d v="2012-07-05T00:00:00"/>
    <s v="4TA SEM"/>
    <s v="ALBERTO LEDEZMA OLEA"/>
    <m/>
    <m/>
    <m/>
    <m/>
    <m/>
    <m/>
    <m/>
    <m/>
    <m/>
    <s v="SEM 27"/>
    <s v="JUL"/>
    <n v="23000"/>
    <s v="ENTRE 18 Y 25 MIL"/>
    <s v="PUBLICIDAD"/>
    <s v="NO PERFILADO"/>
    <s v="BANCOS"/>
    <s v="AR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26 A 29 DIAS"/>
    <s v="DE 26 A 29 DIAS"/>
    <s v="DE 26 A 29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02T00:00:00"/>
    <d v="2012-07-02T00:00:00"/>
    <d v="2012-07-02T00:00:00"/>
    <d v="2012-07-05T00:00:00"/>
    <s v="4TA SEM"/>
    <s v="ESTEFANIA ENRIQUEZ SANCHEZ"/>
    <m/>
    <m/>
    <m/>
    <m/>
    <m/>
    <m/>
    <m/>
    <m/>
    <m/>
    <s v="SEM 27"/>
    <s v="JUL"/>
    <n v="12000"/>
    <s v="HASTA 12 MIL"/>
    <s v="PUBLICIDAD"/>
    <s v="SIN INTERES"/>
    <s v="BANCOS"/>
    <s v="AR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30 DIAS"/>
    <s v="30 DIAS"/>
    <s v="3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28T00:00:00"/>
    <d v="2012-06-28T00:00:00"/>
    <d v="2012-06-28T00:00:00"/>
    <d v="2012-07-05T00:00:00"/>
    <s v="4TA SEM"/>
    <s v="ANA DE ANDA PEREZ"/>
    <m/>
    <m/>
    <m/>
    <m/>
    <m/>
    <m/>
    <m/>
    <m/>
    <m/>
    <s v="SEM 27"/>
    <s v="JUL"/>
    <n v="12000"/>
    <s v="HASTA 12 MIL"/>
    <s v="PUBLICIDAD"/>
    <s v="NO PERFILADO"/>
    <s v="ALIA2"/>
    <s v="AMG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23T00:00:00"/>
    <d v="2012-06-23T00:00:00"/>
    <d v="2012-06-23T00:00:00"/>
    <d v="2012-07-05T00:00:00"/>
    <s v="4TA SEM"/>
    <s v="ROSA ORTIZ ROSAS"/>
    <m/>
    <m/>
    <m/>
    <m/>
    <m/>
    <m/>
    <m/>
    <m/>
    <m/>
    <s v="SEM 27"/>
    <s v="JUL"/>
    <n v="8500"/>
    <s v="HASTA 12 MIL"/>
    <s v="VENDEDOR"/>
    <s v="SIN INTERES"/>
    <s v="ALIA2"/>
    <s v="AMG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17T00:00:00"/>
    <d v="2012-06-17T00:00:00"/>
    <d v="2012-06-17T00:00:00"/>
    <d v="2012-07-05T00:00:00"/>
    <s v="4TA SEM"/>
    <s v="IVONNE BECERRA WIBON"/>
    <m/>
    <m/>
    <m/>
    <m/>
    <m/>
    <m/>
    <m/>
    <m/>
    <m/>
    <s v="SEM 27"/>
    <s v="JUL"/>
    <n v="14500"/>
    <s v="ENTRE 12 Y 18 MIL"/>
    <s v="FRACCIONAMIENTO"/>
    <s v="SIN INTERES"/>
    <s v="ALIA2"/>
    <s v="AMG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12T00:00:00"/>
    <d v="2012-06-12T00:00:00"/>
    <d v="2012-06-12T00:00:00"/>
    <d v="2012-07-05T00:00:00"/>
    <s v="4TA SEM"/>
    <s v="JOSE DEL TORO CARTER"/>
    <m/>
    <m/>
    <m/>
    <m/>
    <m/>
    <m/>
    <m/>
    <m/>
    <m/>
    <s v="SEM 27"/>
    <s v="JUL"/>
    <n v="17000"/>
    <s v="ENTRE 12 Y 18 MIL"/>
    <s v="EXPO"/>
    <s v="POR CERRAR"/>
    <s v="ALIA2"/>
    <s v="AMG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28T00:00:00"/>
    <d v="2012-07-28T00:00:00"/>
    <d v="2012-07-28T00:00:00"/>
    <d v="2012-07-12T00:00:00"/>
    <s v="3RA SEM"/>
    <s v="JAVIER SANCHEZ DEL TORO"/>
    <m/>
    <m/>
    <m/>
    <m/>
    <m/>
    <m/>
    <m/>
    <m/>
    <m/>
    <s v="SEM 28"/>
    <s v="JUL"/>
    <n v="24000"/>
    <s v="ENTRE 18 Y 25 MIL"/>
    <s v="BASE DE DATOS"/>
    <s v="POR CERRAR"/>
    <s v="ALIA2"/>
    <s v="SNM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23T00:00:00"/>
    <d v="2012-07-23T00:00:00"/>
    <d v="2012-07-23T00:00:00"/>
    <d v="2012-07-12T00:00:00"/>
    <s v="3RA SEM"/>
    <s v="LUIS CORTES ARAGON"/>
    <m/>
    <m/>
    <m/>
    <m/>
    <m/>
    <m/>
    <m/>
    <m/>
    <m/>
    <s v="SEM 28"/>
    <s v="JUL"/>
    <n v="80000"/>
    <s v="MAYOR A 45 MILES"/>
    <s v="RECOMENDADO"/>
    <s v="POR CERRAR"/>
    <s v="OTROS"/>
    <s v="SNM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6 A 10 DIAS"/>
    <s v="DE 6 A 10 DIAS"/>
    <s v="DE 6 A 1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18T00:00:00"/>
    <d v="2012-07-18T00:00:00"/>
    <d v="2012-07-18T00:00:00"/>
    <d v="2012-07-12T00:00:00"/>
    <s v="3RA SEM"/>
    <s v="JUAN RAZO DIAZ"/>
    <m/>
    <m/>
    <m/>
    <m/>
    <m/>
    <m/>
    <m/>
    <m/>
    <m/>
    <s v="SEM 28"/>
    <s v="JUL"/>
    <n v="24000"/>
    <s v="ENTRE 18 Y 25 MIL"/>
    <s v="RECOMENDADO"/>
    <s v="POR CERRAR"/>
    <s v="OTROS"/>
    <s v="SNM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11 A 15 DIAS"/>
    <s v="DE 11 A 15 DIAS"/>
    <s v="DE 11 A 1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13T00:00:00"/>
    <d v="2012-07-13T00:00:00"/>
    <d v="2012-07-13T00:00:00"/>
    <d v="2012-07-11T00:00:00"/>
    <s v="3RA SEM"/>
    <s v="JUAN SANCHEZ ALDANA"/>
    <m/>
    <m/>
    <m/>
    <m/>
    <m/>
    <m/>
    <m/>
    <m/>
    <m/>
    <s v="SEM 28"/>
    <s v="JUL"/>
    <n v="12000"/>
    <s v="HASTA 12 MIL"/>
    <s v="RECOMENDADO"/>
    <s v="POR CERRAR"/>
    <s v="IPEJAL"/>
    <s v="MJV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16 A 20 DIAS"/>
    <s v="DE 16 A 20 DIAS"/>
    <s v="DE 16 A 2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07T00:00:00"/>
    <d v="2012-07-07T00:00:00"/>
    <d v="2012-07-07T00:00:00"/>
    <d v="2012-06-07T00:00:00"/>
    <s v="8VA SEM"/>
    <s v="RODRIGO MEDINA ALCAR"/>
    <m/>
    <m/>
    <m/>
    <m/>
    <m/>
    <m/>
    <m/>
    <m/>
    <m/>
    <s v="SEM 23"/>
    <s v="JUN"/>
    <n v="12000"/>
    <s v="HASTA 12 MIL"/>
    <s v="RECOMENDADO"/>
    <s v="POR CERRAR"/>
    <s v="INFONAVIT"/>
    <s v="MJV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21 A 25 DIAS"/>
    <s v="DE 21 A 25 DIAS"/>
    <s v="DE 21 A 2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03T00:00:00"/>
    <d v="2012-07-03T00:00:00"/>
    <d v="2012-07-03T00:00:00"/>
    <d v="2012-06-07T00:00:00"/>
    <s v="8VA SEM"/>
    <s v="ROSA DIEZ NUÑO"/>
    <m/>
    <m/>
    <m/>
    <m/>
    <m/>
    <m/>
    <m/>
    <m/>
    <m/>
    <s v="SEM 23"/>
    <s v="JUN"/>
    <n v="12000"/>
    <s v="HASTA 12 MIL"/>
    <s v="ACTIVACION"/>
    <s v="POR CERRAR"/>
    <s v="INFONAVIT"/>
    <s v="MRV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26 A 29 DIAS"/>
    <s v="DE 26 A 29 DIAS"/>
    <s v="DE 26 A 29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02T00:00:00"/>
    <d v="2012-07-02T00:00:00"/>
    <d v="2012-07-02T00:00:00"/>
    <d v="2012-06-07T00:00:00"/>
    <s v="8VA SEM"/>
    <s v="GERARDO MEZA SOLIS"/>
    <m/>
    <m/>
    <m/>
    <m/>
    <m/>
    <m/>
    <m/>
    <m/>
    <m/>
    <s v="SEM 23"/>
    <s v="JUN"/>
    <n v="12000"/>
    <s v="HASTA 12 MIL"/>
    <s v="ACTIVACION"/>
    <s v="POR CERRAR"/>
    <s v="COFINAVIT"/>
    <s v="MRV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30 DIAS"/>
    <s v="30 DIAS"/>
    <s v="30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28T00:00:00"/>
    <d v="2012-06-28T00:00:00"/>
    <d v="2012-06-28T00:00:00"/>
    <d v="2012-07-01T00:00:00"/>
    <s v="5TA SEM"/>
    <s v="BRENDA ARAGON PEZ"/>
    <m/>
    <m/>
    <m/>
    <m/>
    <m/>
    <m/>
    <m/>
    <m/>
    <m/>
    <s v="SEM 27"/>
    <s v="JUL"/>
    <n v="8500"/>
    <s v="HASTA 12 MIL"/>
    <s v="FRACCIONAMIENTO"/>
    <s v="NO PERFILADO"/>
    <s v="COFINAVIT"/>
    <s v="SNM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31 A 35 DIAS"/>
    <s v="DE 31 A 35 DIAS"/>
    <s v="DE 31 A 3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23T00:00:00"/>
    <d v="2012-06-23T00:00:00"/>
    <d v="2012-06-23T00:00:00"/>
    <d v="2012-07-02T00:00:00"/>
    <s v="5TA SEM"/>
    <s v="ALEJANDRA ORTIZ SOLA"/>
    <m/>
    <m/>
    <m/>
    <m/>
    <m/>
    <m/>
    <m/>
    <m/>
    <m/>
    <s v="SEM 27"/>
    <s v="JUL"/>
    <n v="14500"/>
    <s v="ENTRE 12 Y 18 MIL"/>
    <s v="FRACCIONAMIENTO"/>
    <s v="NO PERFILADO"/>
    <s v="COFINAVIT"/>
    <s v="AR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17T00:00:00"/>
    <d v="2012-06-17T00:00:00"/>
    <d v="2012-06-17T00:00:00"/>
    <d v="2012-07-05T00:00:00"/>
    <s v="4TA SEM"/>
    <s v="ANDREA CASTELLANOS ROCHA"/>
    <m/>
    <m/>
    <m/>
    <m/>
    <m/>
    <m/>
    <m/>
    <m/>
    <m/>
    <s v="SEM 27"/>
    <s v="JUL"/>
    <n v="17000"/>
    <s v="ENTRE 12 Y 18 MIL"/>
    <s v="VENDEDOR"/>
    <s v="NO PERFILADO"/>
    <s v="COFINAVIT"/>
    <s v="AMG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DE 36 A 45 DIAS"/>
    <s v="DE 36 A 45 DIAS"/>
    <s v="DE 36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6-12T00:00:00"/>
    <d v="2012-06-12T00:00:00"/>
    <d v="2012-06-12T00:00:00"/>
    <d v="2012-07-05T00:00:00"/>
    <s v="4TA SEM"/>
    <s v="ALBERTO SUCAR MIGUEL"/>
    <m/>
    <m/>
    <m/>
    <m/>
    <m/>
    <m/>
    <m/>
    <m/>
    <m/>
    <s v="SEM 27"/>
    <s v="JUL"/>
    <n v="12000"/>
    <s v="HASTA 12 MIL"/>
    <s v="VENDEDOR"/>
    <s v="CANCELADO"/>
    <s v="COFINAVIT"/>
    <s v="AR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MAYOR A 45 DIAS"/>
    <s v="MAYOR A 45 DIAS"/>
    <s v="MAYOR A 4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m/>
    <m/>
    <x v="3"/>
    <m/>
    <m/>
    <m/>
    <m/>
    <m/>
    <m/>
    <m/>
    <m/>
    <m/>
    <m/>
    <m/>
    <m/>
    <m/>
    <m/>
    <m/>
    <d v="2012-07-28T00:00:00"/>
    <d v="2012-07-28T00:00:00"/>
    <d v="2012-07-28T00:00:00"/>
    <d v="2012-07-05T00:00:00"/>
    <s v="4TA SEM"/>
    <s v="JAVIER SANCHEZ GONZALEZ"/>
    <m/>
    <m/>
    <m/>
    <m/>
    <m/>
    <m/>
    <m/>
    <m/>
    <m/>
    <s v="SEM 27"/>
    <s v="JUL"/>
    <n v="8500"/>
    <s v="HASTA 12 MIL"/>
    <s v="ACTIVACION"/>
    <s v="CANCELADO"/>
    <s v="INFONAVIT"/>
    <s v="SNM"/>
    <m/>
    <x v="9"/>
    <m/>
    <m/>
    <m/>
    <m/>
    <m/>
    <m/>
    <m/>
    <m/>
    <m/>
    <m/>
    <m/>
    <m/>
    <m/>
    <m/>
    <m/>
    <m/>
    <m/>
    <m/>
    <m/>
    <m/>
    <m/>
    <m/>
    <m/>
    <m/>
    <s v="NA"/>
    <s v=""/>
    <s v="NA"/>
    <s v=""/>
    <s v="NA"/>
    <s v=""/>
    <m/>
    <m/>
    <m/>
    <s v="HASTA 5 DIAS"/>
    <s v="HASTA 5 DIAS"/>
    <s v="HASTA 5 DIAS"/>
    <m/>
    <m/>
    <m/>
    <m/>
    <m/>
    <m/>
    <m/>
    <m/>
    <m/>
    <m/>
    <m/>
    <x v="0"/>
    <x v="0"/>
    <x v="0"/>
    <x v="0"/>
    <x v="0"/>
    <x v="0"/>
    <x v="0"/>
    <x v="0"/>
    <x v="0"/>
    <x v="0"/>
    <n v="0"/>
    <n v="0"/>
    <n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33">
  <r>
    <n v="1"/>
    <s v="PTA NORTE "/>
    <s v="020101"/>
    <x v="0"/>
    <n v="1"/>
    <n v="1"/>
    <s v="TALAVERA"/>
    <m/>
    <x v="0"/>
    <n v="90.179000000000002"/>
    <m/>
    <x v="0"/>
    <x v="0"/>
    <n v="1164680.2"/>
    <n v="40"/>
    <d v="2012-11-15T00:00:00"/>
    <x v="0"/>
    <x v="0"/>
    <s v="LIBERADO"/>
    <s v="BANCOMER"/>
    <d v="2012-06-01T00:00:00"/>
    <n v="582340.1"/>
    <n v="174702.03"/>
    <n v="0"/>
    <n v="174702.03"/>
    <n v="0"/>
    <s v="30%"/>
    <n v="0.7"/>
    <d v="2012-07-28T00:00:00"/>
    <d v="2012-07-28T00:00:00"/>
    <d v="2012-07-28T00:00:00"/>
    <m/>
    <s v="NA"/>
    <m/>
    <m/>
    <m/>
    <m/>
    <m/>
    <m/>
    <m/>
    <m/>
    <m/>
    <m/>
    <s v="NA"/>
    <s v=""/>
    <m/>
    <s v="ND"/>
    <s v="PUBLICIDAD"/>
    <s v="APARTADO"/>
    <s v="INFONAVIT"/>
    <s v="AMG"/>
    <d v="2012-05-20T00:00:00"/>
    <s v="ANÁLISIS"/>
    <d v="2012-05-30T00:00:00"/>
    <d v="2012-10-15T00:00:00"/>
    <m/>
    <m/>
    <m/>
    <m/>
    <m/>
    <m/>
    <m/>
    <s v="PAGADA"/>
    <s v="PENDIENTE"/>
    <s v="PENDIENTE"/>
    <n v="0.01"/>
    <n v="3882.2673333333332"/>
    <n v="3882.2673333333332"/>
    <n v="3882.2673333333332"/>
    <d v="2012-06-15T00:00:00"/>
    <m/>
    <m/>
    <m/>
    <s v="2DA-JUN-2012"/>
    <s v="ND"/>
    <s v="ND"/>
    <s v="ND"/>
    <s v="SEM 21"/>
    <s v="MAY"/>
    <s v="NA"/>
    <s v=""/>
    <s v="NA"/>
    <s v=""/>
    <s v="1RA-OCT"/>
    <s v="MAYOR A 2 MESES"/>
    <s v="NA"/>
    <s v="HASTA 5 DIAS"/>
    <s v="HASTA 5 DIAS"/>
    <s v="HASTA 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"/>
    <s v="PTA NORTE "/>
    <s v="020102"/>
    <x v="0"/>
    <n v="1"/>
    <n v="2"/>
    <s v="TALAVERA"/>
    <m/>
    <x v="1"/>
    <n v="88.006"/>
    <m/>
    <x v="0"/>
    <x v="0"/>
    <n v="1156422.8"/>
    <n v="41"/>
    <d v="2012-11-15T00:00:00"/>
    <x v="0"/>
    <x v="0"/>
    <s v="NO LIBERADO"/>
    <s v="BANCOMER"/>
    <m/>
    <n v="578211.4"/>
    <n v="491479.69"/>
    <n v="86731.710000000021"/>
    <n v="0"/>
    <n v="491479.69"/>
    <s v="85%"/>
    <n v="0.15000000000000002"/>
    <d v="2012-07-23T00:00:00"/>
    <d v="2012-07-23T00:00:00"/>
    <d v="2012-07-23T00:00:00"/>
    <m/>
    <s v="NA"/>
    <m/>
    <m/>
    <m/>
    <m/>
    <m/>
    <m/>
    <m/>
    <m/>
    <m/>
    <m/>
    <s v="NA"/>
    <s v=""/>
    <m/>
    <s v="ND"/>
    <s v="PUBLICIDAD"/>
    <s v="APARTADO"/>
    <s v="INFONAVIT"/>
    <s v="MJV"/>
    <d v="2012-07-14T00:00:00"/>
    <s v="ANÁLISIS"/>
    <d v="2012-07-17T00:00:00"/>
    <d v="2012-10-15T00:00:00"/>
    <m/>
    <m/>
    <m/>
    <m/>
    <m/>
    <m/>
    <m/>
    <s v="PENDIENTE"/>
    <s v="PENDIENTE"/>
    <s v="PENDIENTE"/>
    <n v="0.01"/>
    <n v="3854.742666666667"/>
    <n v="3854.742666666667"/>
    <n v="3854.742666666667"/>
    <d v="2012-07-14T00:00:00"/>
    <m/>
    <m/>
    <m/>
    <s v="2DA-JUL-2012"/>
    <s v="ND"/>
    <s v="ND"/>
    <s v="ND"/>
    <s v="SEM 28"/>
    <s v="JUL"/>
    <s v="NA"/>
    <s v=""/>
    <s v="NA"/>
    <s v=""/>
    <s v="1RA-OCT"/>
    <s v="3RA SEM"/>
    <s v="NA"/>
    <s v="DE 6 A 10 DIAS"/>
    <s v="DE 6 A 10 DIAS"/>
    <s v="DE 6 A 1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"/>
    <s v="PTA NORTE "/>
    <s v="020103"/>
    <x v="0"/>
    <n v="1"/>
    <n v="3"/>
    <s v="TALAVERA"/>
    <m/>
    <x v="2"/>
    <n v="89.86"/>
    <m/>
    <x v="1"/>
    <x v="0"/>
    <n v="1172468"/>
    <n v="42"/>
    <d v="2012-11-15T00:00:00"/>
    <x v="0"/>
    <x v="0"/>
    <s v="NO LIBERADO"/>
    <s v="BANCOMER"/>
    <m/>
    <n v="586234"/>
    <n v="369327.42"/>
    <n v="216906.58000000002"/>
    <n v="0"/>
    <n v="369327.42"/>
    <s v="65%"/>
    <n v="0.35"/>
    <d v="2012-07-18T00:00:00"/>
    <d v="2012-07-18T00:00:00"/>
    <d v="2012-07-18T00:00:00"/>
    <m/>
    <s v="NA"/>
    <m/>
    <m/>
    <m/>
    <m/>
    <m/>
    <m/>
    <m/>
    <m/>
    <m/>
    <m/>
    <s v="NA"/>
    <s v=""/>
    <m/>
    <s v="ND"/>
    <s v="PUBLICIDAD"/>
    <s v="APARTADO"/>
    <s v="INFONAVIT"/>
    <s v="MRV"/>
    <d v="2012-04-13T00:00:00"/>
    <s v="ANÁLISIS"/>
    <d v="2012-05-30T00:00:00"/>
    <d v="2012-10-15T00:00:00"/>
    <m/>
    <m/>
    <m/>
    <m/>
    <m/>
    <m/>
    <m/>
    <s v="PAGADA"/>
    <s v="PENDIENTE"/>
    <s v="PENDIENTE"/>
    <n v="0.01"/>
    <n v="3908.2266666666669"/>
    <n v="3908.2266666666669"/>
    <n v="3908.2266666666669"/>
    <d v="2012-06-15T00:00:00"/>
    <m/>
    <m/>
    <m/>
    <s v="2DA-JUN-2012"/>
    <s v="ND"/>
    <s v="ND"/>
    <s v="ND"/>
    <s v="SEM 15"/>
    <s v="ABR"/>
    <s v="NA"/>
    <s v=""/>
    <s v="NA"/>
    <s v=""/>
    <s v="1RA-OCT"/>
    <s v="MAYOR A 2 MESES"/>
    <s v="NA"/>
    <s v="DE 11 A 15 DIAS"/>
    <s v="DE 11 A 15 DIAS"/>
    <s v="DE 11 A 1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"/>
    <s v="PTA NORTE "/>
    <s v="020104"/>
    <x v="0"/>
    <n v="1"/>
    <n v="4"/>
    <s v="TALAVERA"/>
    <m/>
    <x v="3"/>
    <n v="91.715000000000003"/>
    <m/>
    <x v="0"/>
    <x v="0"/>
    <n v="1170517"/>
    <n v="43"/>
    <d v="2012-11-15T00:00:00"/>
    <x v="0"/>
    <x v="0"/>
    <s v="NO LIBERADO"/>
    <s v="BANCOMER"/>
    <m/>
    <n v="585258.5"/>
    <n v="368712.85499999998"/>
    <n v="216545.64500000002"/>
    <n v="0"/>
    <n v="368712.85499999998"/>
    <s v="65%"/>
    <n v="0.35"/>
    <d v="2012-07-13T00:00:00"/>
    <d v="2012-07-13T00:00:00"/>
    <d v="2012-07-13T00:00:00"/>
    <d v="2012-03-30T00:00:00"/>
    <s v="MAYOR A 2 MESES"/>
    <s v="IVONNE WIBON CORTES"/>
    <m/>
    <m/>
    <m/>
    <m/>
    <m/>
    <m/>
    <n v="513541"/>
    <n v="65416514"/>
    <s v="6+54351"/>
    <s v="SEM 13"/>
    <s v="MAR"/>
    <n v="22000"/>
    <s v="ENTRE 18 Y 25 MIL"/>
    <s v="PUBLICIDAD"/>
    <s v="APARTADO"/>
    <s v="FOVISSSTE"/>
    <s v="SNM"/>
    <d v="2012-03-30T00:00:00"/>
    <s v="AUTORIZADO"/>
    <d v="2012-03-30T00:00:00"/>
    <d v="2012-11-20T00:00:00"/>
    <d v="2012-04-15T00:00:00"/>
    <m/>
    <m/>
    <m/>
    <m/>
    <n v="86"/>
    <m/>
    <s v="PAGADA"/>
    <s v="PENDIENTE"/>
    <s v="PENDIENTE"/>
    <n v="0.01"/>
    <n v="3901.7233333333334"/>
    <n v="3901.7233333333334"/>
    <n v="3901.7233333333334"/>
    <d v="2012-04-15T00:00:00"/>
    <m/>
    <m/>
    <m/>
    <s v="2DA-ABR-2012"/>
    <s v="ND"/>
    <s v="ND"/>
    <s v="ND"/>
    <s v="SEM 13"/>
    <s v="MAR"/>
    <s v="NA"/>
    <s v=""/>
    <s v="NA"/>
    <s v=""/>
    <s v="2DA-NOV"/>
    <s v="MAYOR A 2 MESES"/>
    <s v="NA"/>
    <s v="DE 16 A 20 DIAS"/>
    <s v="DE 16 A 20 DIAS"/>
    <s v="DE 16 A 20 DIAS"/>
    <n v="5000"/>
    <n v="30000"/>
    <n v="5000"/>
    <n v="50000"/>
    <n v="10000"/>
    <m/>
    <m/>
    <m/>
    <m/>
    <m/>
    <m/>
    <s v="PAGADO"/>
    <s v="PAGADO"/>
    <s v="VENCIDO"/>
    <s v="VENCIDO"/>
    <m/>
    <m/>
    <m/>
    <m/>
    <m/>
    <m/>
    <n v="0"/>
    <n v="35000"/>
    <n v="60000"/>
    <d v="2012-04-14T00:00:00"/>
    <d v="2012-04-29T00:00:00"/>
    <d v="2012-05-14T00:00:00"/>
    <d v="2012-05-29T00:00:00"/>
    <m/>
    <m/>
    <m/>
  </r>
  <r>
    <n v="5"/>
    <s v="PTA NORTE "/>
    <s v="020105"/>
    <x v="0"/>
    <n v="1"/>
    <n v="5"/>
    <s v="TALAVERA"/>
    <m/>
    <x v="4"/>
    <n v="93.569000000000003"/>
    <m/>
    <x v="0"/>
    <x v="0"/>
    <n v="1177562.2"/>
    <n v="44"/>
    <d v="2012-11-15T00:00:00"/>
    <x v="0"/>
    <x v="0"/>
    <s v="NO LIBERADO"/>
    <s v="BANCOMER"/>
    <m/>
    <n v="588781.1"/>
    <n v="370932.09299999999"/>
    <n v="217849.00699999998"/>
    <n v="0"/>
    <n v="370932.09299999999"/>
    <s v="65%"/>
    <n v="0.35"/>
    <d v="2012-07-07T00:00:00"/>
    <d v="2012-07-07T00:00:00"/>
    <d v="2012-07-07T00:00:00"/>
    <d v="2012-04-15T00:00:00"/>
    <s v="MAYOR A 2 MESES"/>
    <s v="JOSE CARTER RAZO"/>
    <m/>
    <m/>
    <m/>
    <m/>
    <m/>
    <m/>
    <n v="36321654"/>
    <n v="3216543"/>
    <m/>
    <s v="SEM 16"/>
    <s v="ABR"/>
    <n v="17000"/>
    <s v="ENTRE 12 Y 18 MIL"/>
    <s v="FRACCIONAMIENTO"/>
    <s v="APARTADO"/>
    <s v="BANCOS"/>
    <s v="MRV"/>
    <d v="2012-04-16T00:00:00"/>
    <s v="COBRADO"/>
    <d v="2012-04-30T00:00:00"/>
    <d v="2012-05-21T00:00:00"/>
    <d v="2012-05-12T00:00:00"/>
    <m/>
    <d v="2012-05-21T00:00:00"/>
    <d v="2012-05-30T00:00:00"/>
    <m/>
    <n v="86"/>
    <d v="2012-06-05T00:00:00"/>
    <s v="PAGADA"/>
    <s v="PAGADA"/>
    <s v="PAGADA"/>
    <n v="0.01"/>
    <n v="3925.2073333333333"/>
    <n v="3925.2073333333333"/>
    <n v="3925.2073333333333"/>
    <d v="2012-05-01T00:00:00"/>
    <d v="2012-05-15T00:00:00"/>
    <d v="2012-05-30T00:00:00"/>
    <m/>
    <s v="1ERA-MAY-2012"/>
    <s v="2DA-MAY-2012"/>
    <s v="2DA-MAY-2012"/>
    <s v="ND"/>
    <s v="SEM 16"/>
    <s v="ABR"/>
    <s v="SEM 21"/>
    <s v="MAY"/>
    <s v="SEM 23"/>
    <s v="JUN"/>
    <s v="2DA-MAY"/>
    <s v="MAYOR A 2 MESES"/>
    <s v="MAYOR A 2 MESES"/>
    <s v="DE 21 A 25 DIAS"/>
    <s v="DE 21 A 25 DIAS"/>
    <s v="DE 21 A 25 DIAS"/>
    <n v="5000"/>
    <n v="20000"/>
    <n v="200000"/>
    <m/>
    <m/>
    <m/>
    <m/>
    <m/>
    <m/>
    <m/>
    <m/>
    <s v="PAGADO"/>
    <s v="PAGADO"/>
    <m/>
    <m/>
    <m/>
    <m/>
    <m/>
    <m/>
    <m/>
    <m/>
    <n v="0"/>
    <n v="220000"/>
    <n v="0"/>
    <d v="2012-04-20T00:00:00"/>
    <d v="2012-05-15T00:00:00"/>
    <m/>
    <m/>
    <m/>
    <m/>
    <m/>
  </r>
  <r>
    <n v="6"/>
    <s v="PTA NORTE "/>
    <s v="020106"/>
    <x v="0"/>
    <n v="1"/>
    <n v="6"/>
    <s v="TALAVERA"/>
    <m/>
    <x v="0"/>
    <n v="104.95099999999999"/>
    <m/>
    <x v="1"/>
    <x v="0"/>
    <n v="1229813.8"/>
    <n v="45"/>
    <d v="2012-11-15T00:00:00"/>
    <x v="0"/>
    <x v="0"/>
    <s v="NO LIBERADO"/>
    <s v="BANCOMER"/>
    <m/>
    <n v="614906.9"/>
    <n v="387391.34700000001"/>
    <n v="227515.55300000001"/>
    <n v="0"/>
    <n v="387391.34700000001"/>
    <s v="65%"/>
    <n v="0.35"/>
    <d v="2012-07-03T00:00:00"/>
    <d v="2012-07-03T00:00:00"/>
    <d v="2012-07-03T00:00:00"/>
    <m/>
    <s v="NA"/>
    <m/>
    <m/>
    <m/>
    <m/>
    <m/>
    <m/>
    <m/>
    <m/>
    <m/>
    <m/>
    <s v="NA"/>
    <s v=""/>
    <m/>
    <s v="ND"/>
    <s v="PUBLICIDAD"/>
    <s v="APARTADO"/>
    <s v="INFONAVIT"/>
    <s v="AMG"/>
    <d v="2012-05-20T00:00:00"/>
    <s v="ANÁLISIS"/>
    <d v="2012-05-30T00:00:00"/>
    <d v="2012-10-15T00:00:00"/>
    <m/>
    <m/>
    <m/>
    <m/>
    <m/>
    <m/>
    <m/>
    <s v="PAGADA"/>
    <s v="PENDIENTE"/>
    <s v="PENDIENTE"/>
    <n v="0.01"/>
    <n v="4099.3793333333333"/>
    <n v="4099.3793333333333"/>
    <n v="4099.3793333333333"/>
    <d v="2012-06-15T00:00:00"/>
    <m/>
    <m/>
    <m/>
    <s v="2DA-JUN-2012"/>
    <s v="ND"/>
    <s v="ND"/>
    <s v="ND"/>
    <s v="SEM 21"/>
    <s v="MAY"/>
    <s v="NA"/>
    <s v=""/>
    <s v="NA"/>
    <s v=""/>
    <s v="1RA-OCT"/>
    <s v="MAYOR A 2 MESES"/>
    <s v="NA"/>
    <s v="DE 26 A 29 DIAS"/>
    <s v="DE 26 A 29 DIAS"/>
    <s v="DE 26 A 29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"/>
    <s v="PTA NORTE "/>
    <s v="020201"/>
    <x v="0"/>
    <n v="2"/>
    <n v="1"/>
    <s v="ESTRELLA ORIENTE"/>
    <m/>
    <x v="0"/>
    <n v="83.653999999999996"/>
    <m/>
    <x v="1"/>
    <x v="0"/>
    <n v="1148885.2"/>
    <n v="46"/>
    <d v="2012-11-15T00:00:00"/>
    <x v="0"/>
    <x v="0"/>
    <s v="NO LIBERADO"/>
    <s v="BANCOMER"/>
    <m/>
    <n v="574442.6"/>
    <n v="361898.83799999999"/>
    <n v="212543.76199999999"/>
    <n v="0"/>
    <n v="361898.83799999999"/>
    <s v="65%"/>
    <n v="0.35"/>
    <d v="2012-07-02T00:00:00"/>
    <d v="2012-07-02T00:00:00"/>
    <d v="2012-07-02T00:00:00"/>
    <m/>
    <s v="NA"/>
    <m/>
    <m/>
    <m/>
    <m/>
    <m/>
    <m/>
    <m/>
    <m/>
    <m/>
    <m/>
    <s v="NA"/>
    <s v=""/>
    <m/>
    <s v="ND"/>
    <s v="PUBLICIDAD"/>
    <s v="APARTADO"/>
    <s v="INFONAVIT"/>
    <s v="SNM"/>
    <d v="2012-06-15T00:00:00"/>
    <s v="INTEGRACIÓN"/>
    <d v="2012-06-20T00:00:00"/>
    <d v="2012-10-15T00:00:00"/>
    <m/>
    <m/>
    <m/>
    <m/>
    <m/>
    <m/>
    <m/>
    <s v="PAGADA"/>
    <s v="PENDIENTE"/>
    <s v="PENDIENTE"/>
    <n v="0.01"/>
    <n v="3829.6173333333331"/>
    <n v="3829.6173333333331"/>
    <n v="3829.6173333333331"/>
    <d v="2012-06-30T00:00:00"/>
    <m/>
    <m/>
    <m/>
    <s v="2DA-JUN-2012"/>
    <s v="ND"/>
    <s v="ND"/>
    <s v="ND"/>
    <s v="SEM 24"/>
    <s v="JUN"/>
    <s v="NA"/>
    <s v=""/>
    <s v="NA"/>
    <s v=""/>
    <s v="1RA-OCT"/>
    <s v="7MA SEM"/>
    <s v="NA"/>
    <s v="30 DIAS"/>
    <s v="30 DIAS"/>
    <s v="3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"/>
    <s v="PTA NORTE "/>
    <s v="020202"/>
    <x v="0"/>
    <n v="2"/>
    <n v="2"/>
    <s v="ESTRELLA ORIENTE"/>
    <m/>
    <x v="0"/>
    <n v="80"/>
    <m/>
    <x v="0"/>
    <x v="0"/>
    <n v="1126000"/>
    <n v="47"/>
    <d v="2012-11-15T00:00:00"/>
    <x v="0"/>
    <x v="0"/>
    <s v="NO LIBERADO"/>
    <s v="BANCOMER"/>
    <m/>
    <n v="563000"/>
    <n v="354690"/>
    <n v="208310"/>
    <n v="0"/>
    <n v="354690"/>
    <s v="65%"/>
    <n v="0.35"/>
    <d v="2012-06-28T00:00:00"/>
    <d v="2012-06-28T00:00:00"/>
    <d v="2012-06-28T00:00:00"/>
    <m/>
    <s v="NA"/>
    <m/>
    <m/>
    <m/>
    <m/>
    <m/>
    <m/>
    <m/>
    <m/>
    <m/>
    <m/>
    <s v="NA"/>
    <s v=""/>
    <m/>
    <s v="ND"/>
    <s v="PUBLICIDAD"/>
    <s v="APARTADO"/>
    <s v="INFONAVIT"/>
    <s v="MJV"/>
    <d v="2012-05-20T00:00:00"/>
    <s v="INTEGRACIÓN"/>
    <d v="2012-05-25T00:00:00"/>
    <d v="2012-10-15T00:00:00"/>
    <m/>
    <m/>
    <m/>
    <m/>
    <m/>
    <m/>
    <m/>
    <s v="X CANCELAR"/>
    <s v="PENDIENTE"/>
    <s v="PENDIENTE"/>
    <n v="0.01"/>
    <n v="3753.3333333333335"/>
    <n v="3753.3333333333335"/>
    <n v="3753.3333333333335"/>
    <d v="2012-05-30T00:00:00"/>
    <m/>
    <m/>
    <m/>
    <s v="2DA-MAY-2012"/>
    <s v="ND"/>
    <s v="ND"/>
    <s v="ND"/>
    <s v="SEM 21"/>
    <s v="MAY"/>
    <s v="NA"/>
    <s v=""/>
    <s v="NA"/>
    <s v=""/>
    <s v="1RA-OCT"/>
    <s v="MAYOR A 2 MESES"/>
    <s v="NA"/>
    <s v="DE 31 A 35 DIAS"/>
    <s v="DE 31 A 35 DIAS"/>
    <s v="DE 31 A 3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"/>
    <s v="PTA NORTE "/>
    <s v="020203"/>
    <x v="0"/>
    <n v="2"/>
    <n v="3"/>
    <s v="ESTRELLA ORIENTE"/>
    <m/>
    <x v="0"/>
    <n v="80"/>
    <m/>
    <x v="0"/>
    <x v="0"/>
    <n v="1126000"/>
    <n v="48"/>
    <d v="2012-11-15T00:00:00"/>
    <x v="0"/>
    <x v="0"/>
    <s v="NO LIBERADO"/>
    <s v="BANCOMER"/>
    <m/>
    <n v="563000"/>
    <n v="354690"/>
    <n v="208310"/>
    <n v="0"/>
    <n v="354690"/>
    <s v="65%"/>
    <n v="0.35"/>
    <d v="2012-06-23T00:00:00"/>
    <d v="2012-06-23T00:00:00"/>
    <d v="2012-06-23T00:00:00"/>
    <m/>
    <s v="NA"/>
    <m/>
    <m/>
    <m/>
    <m/>
    <m/>
    <m/>
    <m/>
    <m/>
    <m/>
    <m/>
    <s v="NA"/>
    <s v=""/>
    <m/>
    <s v="ND"/>
    <s v="PUBLICIDAD"/>
    <s v="APARTADO"/>
    <s v="INFONAVIT"/>
    <s v="MJV"/>
    <d v="2012-07-14T00:00:00"/>
    <s v="INTEGRACIÓN"/>
    <d v="2012-07-16T00:00:00"/>
    <d v="2012-10-15T00:00:00"/>
    <m/>
    <m/>
    <m/>
    <m/>
    <m/>
    <m/>
    <m/>
    <s v="PENDIENTE"/>
    <s v="PENDIENTE"/>
    <s v="PENDIENTE"/>
    <n v="0.01"/>
    <n v="3753.3333333333335"/>
    <n v="3753.3333333333335"/>
    <n v="3753.3333333333335"/>
    <d v="2012-07-15T00:00:00"/>
    <m/>
    <m/>
    <m/>
    <s v="2DA-JUL-2012"/>
    <s v="ND"/>
    <s v="ND"/>
    <s v="ND"/>
    <s v="SEM 28"/>
    <s v="JUL"/>
    <s v="NA"/>
    <s v=""/>
    <s v="NA"/>
    <s v=""/>
    <s v="1RA-OCT"/>
    <s v="3RA SEM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"/>
    <s v="PTA NORTE "/>
    <s v="020204"/>
    <x v="0"/>
    <n v="2"/>
    <n v="4"/>
    <s v="ESTRELLA ORIENTE"/>
    <m/>
    <x v="0"/>
    <n v="80"/>
    <m/>
    <x v="1"/>
    <x v="0"/>
    <n v="1135000"/>
    <n v="49"/>
    <d v="2012-11-15T00:00:00"/>
    <x v="0"/>
    <x v="0"/>
    <s v="NO LIBERADO"/>
    <s v="BANCOMER"/>
    <m/>
    <n v="567500"/>
    <n v="357525"/>
    <n v="209975"/>
    <n v="0"/>
    <n v="357525"/>
    <s v="65%"/>
    <n v="0.35"/>
    <d v="2012-06-17T00:00:00"/>
    <d v="2012-06-17T00:00:00"/>
    <d v="2012-06-17T00:00:00"/>
    <m/>
    <s v="NA"/>
    <m/>
    <m/>
    <m/>
    <m/>
    <m/>
    <m/>
    <m/>
    <m/>
    <m/>
    <m/>
    <s v="NA"/>
    <s v=""/>
    <m/>
    <s v="ND"/>
    <s v="PUBLICIDAD"/>
    <s v="APARTADO"/>
    <s v="INFONAVIT"/>
    <s v="SNM"/>
    <d v="2012-04-13T00:00:00"/>
    <s v="PREAUTORIZADO"/>
    <d v="2012-04-30T00:00:00"/>
    <d v="2012-10-15T00:00:00"/>
    <m/>
    <m/>
    <m/>
    <m/>
    <m/>
    <m/>
    <m/>
    <s v="PAGADA"/>
    <s v="PENDIENTE"/>
    <s v="PENDIENTE"/>
    <n v="0.01"/>
    <n v="3783.3333333333335"/>
    <n v="3783.3333333333335"/>
    <n v="3783.3333333333335"/>
    <d v="2012-05-15T00:00:00"/>
    <m/>
    <m/>
    <m/>
    <s v="2DA-MAY-2012"/>
    <s v="ND"/>
    <s v="ND"/>
    <s v="ND"/>
    <s v="SEM 15"/>
    <s v="ABR"/>
    <s v="NA"/>
    <s v=""/>
    <s v="NA"/>
    <s v=""/>
    <s v="1RA-OCT"/>
    <s v="MAYOR A 2 MESES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"/>
    <s v="PTA NORTE "/>
    <s v="020205"/>
    <x v="0"/>
    <n v="2"/>
    <n v="5"/>
    <s v="ESTRELLA ORIENTE"/>
    <m/>
    <x v="0"/>
    <n v="80"/>
    <m/>
    <x v="0"/>
    <x v="0"/>
    <n v="1126000"/>
    <n v="50"/>
    <d v="2012-11-15T00:00:00"/>
    <x v="0"/>
    <x v="0"/>
    <s v="NO LIBERADO"/>
    <s v="BANCOMER"/>
    <m/>
    <n v="563000"/>
    <n v="354690"/>
    <n v="208310"/>
    <n v="0"/>
    <n v="354690"/>
    <s v="65%"/>
    <n v="0.35"/>
    <d v="2012-06-12T00:00:00"/>
    <d v="2012-06-12T00:00:00"/>
    <d v="2012-06-12T00:00:00"/>
    <m/>
    <s v="NA"/>
    <m/>
    <m/>
    <m/>
    <m/>
    <m/>
    <m/>
    <m/>
    <m/>
    <m/>
    <m/>
    <s v="NA"/>
    <s v=""/>
    <m/>
    <s v="ND"/>
    <s v="PUBLICIDAD"/>
    <s v="APARTADO"/>
    <s v="INFONAVIT"/>
    <s v="MRV"/>
    <d v="2012-05-20T00:00:00"/>
    <s v="PREAUTORIZADO"/>
    <d v="2012-05-30T00:00:00"/>
    <d v="2012-10-15T00:00:00"/>
    <m/>
    <m/>
    <m/>
    <m/>
    <m/>
    <m/>
    <m/>
    <s v="PAGADA"/>
    <s v="PENDIENTE"/>
    <s v="PENDIENTE"/>
    <n v="0.01"/>
    <n v="3753.3333333333335"/>
    <n v="3753.3333333333335"/>
    <n v="3753.3333333333335"/>
    <d v="2012-05-30T00:00:00"/>
    <m/>
    <m/>
    <m/>
    <s v="2DA-MAY-2012"/>
    <s v="ND"/>
    <s v="ND"/>
    <s v="ND"/>
    <s v="SEM 21"/>
    <s v="MAY"/>
    <s v="NA"/>
    <s v=""/>
    <s v="NA"/>
    <s v=""/>
    <s v="1RA-OCT"/>
    <s v="MAYOR A 2 MESES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"/>
    <s v="PTA NORTE "/>
    <s v="020206"/>
    <x v="0"/>
    <n v="2"/>
    <n v="6"/>
    <s v="ESTRELLA ORIENTE"/>
    <m/>
    <x v="0"/>
    <n v="80"/>
    <m/>
    <x v="0"/>
    <x v="0"/>
    <n v="1126000"/>
    <n v="51"/>
    <d v="2012-11-15T00:00:00"/>
    <x v="0"/>
    <x v="0"/>
    <s v="NO LIBERADO"/>
    <s v="BANCOMER"/>
    <m/>
    <n v="563000"/>
    <n v="354690"/>
    <n v="208310"/>
    <n v="0"/>
    <n v="354690"/>
    <s v="65%"/>
    <n v="0.35"/>
    <d v="2012-07-28T00:00:00"/>
    <d v="2012-07-28T00:00:00"/>
    <d v="2012-07-28T00:00:00"/>
    <m/>
    <s v="NA"/>
    <m/>
    <m/>
    <m/>
    <m/>
    <m/>
    <m/>
    <m/>
    <m/>
    <m/>
    <m/>
    <s v="NA"/>
    <s v=""/>
    <m/>
    <s v="ND"/>
    <s v="PUBLICIDAD"/>
    <s v="APARTADO"/>
    <s v="INFONAVIT"/>
    <s v="SNM"/>
    <d v="2012-05-20T00:00:00"/>
    <s v="PREAUTORIZADO"/>
    <d v="2012-05-30T00:00:00"/>
    <d v="2012-10-15T00:00:00"/>
    <m/>
    <m/>
    <m/>
    <m/>
    <m/>
    <m/>
    <m/>
    <s v="PAGADA"/>
    <s v="PENDIENTE"/>
    <s v="PENDIENTE"/>
    <n v="0.01"/>
    <n v="3753.3333333333335"/>
    <n v="3753.3333333333335"/>
    <n v="3753.3333333333335"/>
    <d v="2012-06-15T00:00:00"/>
    <m/>
    <m/>
    <m/>
    <s v="2DA-JUN-2012"/>
    <s v="ND"/>
    <s v="ND"/>
    <s v="ND"/>
    <s v="SEM 21"/>
    <s v="MAY"/>
    <s v="NA"/>
    <s v=""/>
    <s v="NA"/>
    <s v=""/>
    <s v="1RA-OCT"/>
    <s v="MAYOR A 2 MESES"/>
    <s v="NA"/>
    <s v="HASTA 5 DIAS"/>
    <s v="HASTA 5 DIAS"/>
    <s v="HASTA 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"/>
    <s v="PTA NORTE "/>
    <s v="020207"/>
    <x v="0"/>
    <n v="2"/>
    <n v="7"/>
    <s v="ESTRELLA ORIENTE"/>
    <m/>
    <x v="0"/>
    <n v="106.81"/>
    <m/>
    <x v="1"/>
    <x v="0"/>
    <n v="1236878"/>
    <n v="52"/>
    <d v="2012-11-15T00:00:00"/>
    <x v="0"/>
    <x v="0"/>
    <s v="NO LIBERADO"/>
    <s v="BANCOMER"/>
    <m/>
    <n v="618439"/>
    <n v="389616.57"/>
    <n v="228822.43"/>
    <n v="0"/>
    <n v="389616.57"/>
    <s v="65%"/>
    <n v="0.35"/>
    <d v="2012-07-28T00:00:00"/>
    <d v="2012-07-28T00:00:00"/>
    <d v="2012-07-28T00:00:00"/>
    <m/>
    <s v="NA"/>
    <m/>
    <m/>
    <m/>
    <m/>
    <m/>
    <m/>
    <m/>
    <m/>
    <m/>
    <m/>
    <s v="NA"/>
    <s v=""/>
    <m/>
    <s v="ND"/>
    <s v="PUBLICIDAD"/>
    <s v="APARTADO"/>
    <s v="INFONAVIT"/>
    <s v="AMG"/>
    <d v="2012-06-15T00:00:00"/>
    <s v="PREAUTORIZADO"/>
    <d v="2012-06-17T00:00:00"/>
    <d v="2012-10-15T00:00:00"/>
    <m/>
    <m/>
    <m/>
    <m/>
    <m/>
    <m/>
    <m/>
    <s v="X CANCELAR"/>
    <s v="PENDIENTE"/>
    <s v="PENDIENTE"/>
    <n v="0.01"/>
    <n v="4122.9266666666672"/>
    <n v="4122.9266666666672"/>
    <n v="4122.9266666666672"/>
    <d v="2012-06-30T00:00:00"/>
    <m/>
    <m/>
    <m/>
    <s v="2DA-JUN-2012"/>
    <s v="ND"/>
    <s v="ND"/>
    <s v="ND"/>
    <s v="SEM 24"/>
    <s v="JUN"/>
    <s v="NA"/>
    <s v=""/>
    <s v="NA"/>
    <s v=""/>
    <s v="1RA-OCT"/>
    <s v="7MA SEM"/>
    <s v="NA"/>
    <s v="HASTA 5 DIAS"/>
    <s v="HASTA 5 DIAS"/>
    <s v="HASTA 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"/>
    <s v="PTA NORTE "/>
    <s v="020208"/>
    <x v="0"/>
    <n v="2"/>
    <n v="8"/>
    <s v="ESTRELLA ORIENTE"/>
    <m/>
    <x v="0"/>
    <n v="80"/>
    <m/>
    <x v="0"/>
    <x v="0"/>
    <n v="1126000"/>
    <n v="53"/>
    <d v="2012-11-15T00:00:00"/>
    <x v="0"/>
    <x v="0"/>
    <s v="NO LIBERADO"/>
    <s v="BANCOMER"/>
    <m/>
    <n v="563000"/>
    <n v="225200"/>
    <n v="337800"/>
    <n v="0"/>
    <n v="225200"/>
    <s v="40%"/>
    <n v="0.6"/>
    <d v="2012-07-28T00:00:00"/>
    <d v="2012-07-28T00:00:00"/>
    <d v="2012-07-28T00:00:00"/>
    <m/>
    <s v="NA"/>
    <m/>
    <m/>
    <m/>
    <m/>
    <m/>
    <m/>
    <m/>
    <m/>
    <m/>
    <m/>
    <s v="NA"/>
    <s v=""/>
    <m/>
    <s v="ND"/>
    <s v="PUBLICIDAD"/>
    <s v="APARTADO"/>
    <s v="INFONAVIT"/>
    <s v="MJV"/>
    <d v="2012-06-15T00:00:00"/>
    <s v="ANÁLISIS"/>
    <d v="2012-06-20T00:00:00"/>
    <d v="2012-10-15T00:00:00"/>
    <m/>
    <m/>
    <m/>
    <m/>
    <m/>
    <m/>
    <m/>
    <s v="X CANCELAR"/>
    <s v="PENDIENTE"/>
    <s v="PENDIENTE"/>
    <n v="0.01"/>
    <n v="3753.3333333333335"/>
    <n v="3753.3333333333335"/>
    <n v="3753.3333333333335"/>
    <d v="2012-06-30T00:00:00"/>
    <m/>
    <m/>
    <m/>
    <s v="2DA-JUN-2012"/>
    <s v="ND"/>
    <s v="ND"/>
    <s v="ND"/>
    <s v="SEM 24"/>
    <s v="JUN"/>
    <s v="NA"/>
    <s v=""/>
    <s v="NA"/>
    <s v=""/>
    <s v="1RA-OCT"/>
    <s v="7MA SEM"/>
    <s v="NA"/>
    <s v="HASTA 5 DIAS"/>
    <s v="HASTA 5 DIAS"/>
    <s v="HASTA 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"/>
    <s v="PTA NORTE "/>
    <s v="020209"/>
    <x v="0"/>
    <n v="2"/>
    <n v="9"/>
    <s v="ESTRELLA ORIENTE"/>
    <m/>
    <x v="0"/>
    <n v="80"/>
    <m/>
    <x v="0"/>
    <x v="0"/>
    <n v="1126000"/>
    <n v="54"/>
    <d v="2012-11-15T00:00:00"/>
    <x v="0"/>
    <x v="0"/>
    <s v="NO LIBERADO"/>
    <s v="BANCOMER"/>
    <m/>
    <n v="563000"/>
    <n v="225200"/>
    <n v="337800"/>
    <n v="0"/>
    <n v="225200"/>
    <s v="40%"/>
    <n v="0.6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"/>
    <s v="PTA NORTE "/>
    <s v="020210"/>
    <x v="0"/>
    <n v="2"/>
    <n v="10"/>
    <s v="ESTRELLA ORIENTE"/>
    <m/>
    <x v="0"/>
    <n v="80"/>
    <m/>
    <x v="1"/>
    <x v="0"/>
    <n v="1135000"/>
    <n v="55"/>
    <d v="2012-11-15T00:00:00"/>
    <x v="0"/>
    <x v="0"/>
    <s v="NO LIBERADO"/>
    <s v="BANCOMER"/>
    <m/>
    <n v="567500"/>
    <n v="227000"/>
    <n v="340500"/>
    <n v="0"/>
    <n v="227000"/>
    <s v="40%"/>
    <n v="0.6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"/>
    <s v="PTA NORTE "/>
    <s v="020211"/>
    <x v="0"/>
    <n v="2"/>
    <n v="11"/>
    <s v="ESTRELLA ORIENTE"/>
    <m/>
    <x v="0"/>
    <n v="80"/>
    <m/>
    <x v="0"/>
    <x v="0"/>
    <n v="1126000"/>
    <n v="56"/>
    <d v="2012-11-15T00:00:00"/>
    <x v="0"/>
    <x v="0"/>
    <s v="NO LIBERADO"/>
    <s v="BANCOMER"/>
    <m/>
    <n v="563000"/>
    <n v="225200"/>
    <n v="337800"/>
    <n v="0"/>
    <n v="225200"/>
    <s v="40%"/>
    <n v="0.6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"/>
    <s v="PTA NORTE "/>
    <s v="020212"/>
    <x v="0"/>
    <n v="2"/>
    <n v="12"/>
    <s v="ESTRELLA ORIENTE"/>
    <m/>
    <x v="0"/>
    <n v="80"/>
    <m/>
    <x v="0"/>
    <x v="0"/>
    <n v="1126000"/>
    <n v="57"/>
    <d v="2012-11-23T00:00:00"/>
    <x v="0"/>
    <x v="0"/>
    <s v="NO LIBERADO"/>
    <s v="BANCOMER"/>
    <m/>
    <n v="563000"/>
    <n v="225200"/>
    <n v="337800"/>
    <n v="0"/>
    <n v="225200"/>
    <s v="40%"/>
    <n v="0.6"/>
    <d v="2012-06-30T00:00:00"/>
    <d v="2012-06-30T00:00:00"/>
    <d v="2012-06-30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"/>
    <s v="PTA NORTE "/>
    <s v="020213"/>
    <x v="0"/>
    <n v="2"/>
    <n v="13"/>
    <s v="ESTRELLA ORIENTE"/>
    <m/>
    <x v="0"/>
    <n v="83.468999999999994"/>
    <m/>
    <x v="1"/>
    <x v="0"/>
    <n v="1148182.2"/>
    <n v="58"/>
    <d v="2012-11-23T00:00:00"/>
    <x v="0"/>
    <x v="0"/>
    <s v="NO LIBERADO"/>
    <s v="BANCOMER"/>
    <m/>
    <n v="574091.1"/>
    <n v="229636.44"/>
    <n v="344454.66"/>
    <n v="0"/>
    <n v="229636.44"/>
    <s v="40%"/>
    <n v="0.6"/>
    <d v="2012-06-15T00:00:00"/>
    <d v="2012-06-15T00:00:00"/>
    <d v="2012-06-15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827.2739999999999"/>
    <n v="3827.2739999999999"/>
    <n v="3827.2739999999999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"/>
    <s v="PTA NORTE "/>
    <s v="020301"/>
    <x v="0"/>
    <n v="3"/>
    <n v="1"/>
    <s v="ESTRELLA VIAJERA"/>
    <m/>
    <x v="0"/>
    <n v="83.346000000000004"/>
    <m/>
    <x v="1"/>
    <x v="0"/>
    <n v="1147714.8"/>
    <n v="59"/>
    <d v="2012-11-23T00:00:00"/>
    <x v="0"/>
    <x v="0"/>
    <s v="NO LIBERADO"/>
    <s v="BANCOMER"/>
    <m/>
    <n v="573857.4"/>
    <n v="229542.96000000002"/>
    <n v="344314.44"/>
    <n v="0"/>
    <n v="229542.96000000002"/>
    <s v="40%"/>
    <n v="0.6"/>
    <d v="2012-06-01T00:00:00"/>
    <d v="2012-06-01T00:00:00"/>
    <d v="2012-06-01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825.7160000000003"/>
    <n v="3825.7160000000003"/>
    <n v="3825.7160000000003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"/>
    <s v="PTA NORTE "/>
    <s v="020302"/>
    <x v="0"/>
    <n v="3"/>
    <n v="2"/>
    <s v="ESTRELLA VIAJERA"/>
    <m/>
    <x v="0"/>
    <n v="80"/>
    <m/>
    <x v="0"/>
    <x v="0"/>
    <n v="1126000"/>
    <n v="60"/>
    <d v="2012-11-23T00:00:00"/>
    <x v="0"/>
    <x v="0"/>
    <s v="NO LIBERADO"/>
    <s v="BANCOMER"/>
    <m/>
    <n v="563000"/>
    <n v="225200"/>
    <n v="337800"/>
    <n v="0"/>
    <n v="225200"/>
    <s v="40%"/>
    <n v="0.6"/>
    <d v="2012-06-07T00:00:00"/>
    <d v="2012-06-07T00:00:00"/>
    <d v="2012-06-0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"/>
    <s v="PTA NORTE "/>
    <s v="020303"/>
    <x v="0"/>
    <n v="3"/>
    <n v="3"/>
    <s v="ESTRELLA VIAJERA"/>
    <m/>
    <x v="0"/>
    <n v="80"/>
    <m/>
    <x v="0"/>
    <x v="0"/>
    <n v="1126000"/>
    <n v="61"/>
    <d v="2012-11-23T00:00:00"/>
    <x v="0"/>
    <x v="0"/>
    <s v="NO LIBERADO"/>
    <s v="BANCOMER"/>
    <m/>
    <n v="563000"/>
    <n v="225200"/>
    <n v="337800"/>
    <n v="0"/>
    <n v="225200"/>
    <s v="40%"/>
    <n v="0.6"/>
    <d v="2012-06-10T00:00:00"/>
    <d v="2012-06-10T00:00:00"/>
    <d v="2012-06-10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3"/>
    <s v="PTA NORTE "/>
    <s v="020304"/>
    <x v="0"/>
    <n v="3"/>
    <n v="4"/>
    <s v="ESTRELLA VIAJERA"/>
    <m/>
    <x v="0"/>
    <n v="80"/>
    <m/>
    <x v="1"/>
    <x v="0"/>
    <n v="1135000"/>
    <n v="62"/>
    <d v="2012-11-23T00:00:00"/>
    <x v="0"/>
    <x v="0"/>
    <s v="NO LIBERADO"/>
    <s v="BANCOMER"/>
    <m/>
    <n v="567500"/>
    <n v="227000"/>
    <n v="340500"/>
    <n v="0"/>
    <n v="227000"/>
    <s v="40%"/>
    <n v="0.6"/>
    <d v="2012-06-09T00:00:00"/>
    <d v="2012-06-09T00:00:00"/>
    <d v="2012-06-09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4"/>
    <s v="PTA NORTE "/>
    <s v="020305"/>
    <x v="0"/>
    <n v="3"/>
    <n v="5"/>
    <s v="ESTRELLA VIAJERA"/>
    <m/>
    <x v="0"/>
    <n v="80"/>
    <m/>
    <x v="0"/>
    <x v="0"/>
    <n v="1126000"/>
    <n v="63"/>
    <d v="2012-11-15T00:00:00"/>
    <x v="0"/>
    <x v="1"/>
    <s v="NO LIBERADO"/>
    <s v="BANCOMER"/>
    <m/>
    <n v="563000"/>
    <n v="225200"/>
    <n v="337800"/>
    <n v="0"/>
    <n v="225200"/>
    <s v="40%"/>
    <n v="0.6"/>
    <d v="2012-03-14T00:00:00"/>
    <d v="2012-03-14T00:00:00"/>
    <d v="2012-03-14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5"/>
    <s v="PTA NORTE "/>
    <s v="020306"/>
    <x v="0"/>
    <n v="3"/>
    <n v="6"/>
    <s v="ESTRELLA VIAJERA"/>
    <m/>
    <x v="0"/>
    <n v="80"/>
    <m/>
    <x v="0"/>
    <x v="0"/>
    <n v="1126000"/>
    <n v="64"/>
    <d v="2012-11-15T00:00:00"/>
    <x v="0"/>
    <x v="1"/>
    <s v="NO LIBERADO"/>
    <s v="BANCOMER"/>
    <m/>
    <n v="563000"/>
    <n v="112600"/>
    <n v="450400"/>
    <n v="0"/>
    <n v="112600"/>
    <s v="20%"/>
    <n v="0.8"/>
    <d v="2012-07-16T00:00:00"/>
    <d v="2012-07-16T00:00:00"/>
    <d v="2012-07-16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6"/>
    <s v="PTA NORTE "/>
    <s v="020307"/>
    <x v="0"/>
    <n v="3"/>
    <n v="7"/>
    <s v="ESTRELLA VIAJERA"/>
    <m/>
    <x v="0"/>
    <n v="80"/>
    <m/>
    <x v="1"/>
    <x v="0"/>
    <n v="1135000"/>
    <n v="65"/>
    <d v="2012-11-15T00:00:00"/>
    <x v="0"/>
    <x v="1"/>
    <s v="NO LIBERADO"/>
    <s v="BANCOMER"/>
    <m/>
    <n v="567500"/>
    <n v="113500"/>
    <n v="454000"/>
    <n v="0"/>
    <n v="113500"/>
    <s v="20%"/>
    <n v="0.8"/>
    <d v="2012-06-30T00:00:00"/>
    <d v="2012-06-30T00:00:00"/>
    <d v="2012-06-30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7"/>
    <s v="PTA NORTE "/>
    <s v="020308"/>
    <x v="0"/>
    <n v="3"/>
    <n v="8"/>
    <s v="TARRAGONA"/>
    <m/>
    <x v="0"/>
    <n v="101.45"/>
    <m/>
    <x v="1"/>
    <x v="0"/>
    <n v="1216510"/>
    <n v="66"/>
    <d v="2012-11-30T00:00:00"/>
    <x v="0"/>
    <x v="1"/>
    <s v="NO LIBERADO"/>
    <s v="BANCOMER"/>
    <m/>
    <n v="608255"/>
    <n v="121651"/>
    <n v="486604"/>
    <n v="0"/>
    <n v="121651"/>
    <s v="20%"/>
    <n v="0.8"/>
    <d v="2012-06-15T00:00:00"/>
    <d v="2012-06-15T00:00:00"/>
    <d v="2012-06-15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4055.0333333333333"/>
    <n v="4055.0333333333333"/>
    <n v="4055.0333333333333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8"/>
    <s v="PTA NORTE "/>
    <s v="020309"/>
    <x v="0"/>
    <n v="3"/>
    <n v="9"/>
    <s v="TARRAGONA"/>
    <m/>
    <x v="0"/>
    <n v="88.497"/>
    <m/>
    <x v="0"/>
    <x v="0"/>
    <n v="1158288.6000000001"/>
    <n v="67"/>
    <d v="2012-11-30T00:00:00"/>
    <x v="0"/>
    <x v="1"/>
    <s v="NO LIBERADO"/>
    <s v="BANCOMER"/>
    <m/>
    <n v="579144.30000000005"/>
    <n v="115828.86000000002"/>
    <n v="463315.44000000006"/>
    <n v="0"/>
    <n v="115828.86000000002"/>
    <s v="20%"/>
    <n v="0.8"/>
    <d v="2012-06-01T00:00:00"/>
    <d v="2012-06-01T00:00:00"/>
    <d v="2012-06-01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860.962"/>
    <n v="3860.962"/>
    <n v="3860.962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9"/>
    <s v="PTA NORTE "/>
    <s v="020310"/>
    <x v="0"/>
    <n v="3"/>
    <n v="10"/>
    <s v="TARRAGONA"/>
    <m/>
    <x v="0"/>
    <n v="92.209000000000003"/>
    <m/>
    <x v="0"/>
    <x v="0"/>
    <n v="1172394.2"/>
    <n v="68"/>
    <d v="2012-11-30T00:00:00"/>
    <x v="0"/>
    <x v="1"/>
    <s v="NO LIBERADO"/>
    <s v="BANCOMER"/>
    <m/>
    <n v="586197.1"/>
    <n v="117239.42"/>
    <n v="468957.68"/>
    <n v="0"/>
    <n v="117239.42"/>
    <s v="20%"/>
    <n v="0.8"/>
    <d v="2012-06-07T00:00:00"/>
    <d v="2012-06-07T00:00:00"/>
    <d v="2012-06-0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907.9806666666664"/>
    <n v="3907.9806666666664"/>
    <n v="3907.9806666666664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0"/>
    <s v="PTA NORTE "/>
    <s v="020311"/>
    <x v="0"/>
    <n v="3"/>
    <n v="11"/>
    <s v="ESTRELLA VIAJERA"/>
    <m/>
    <x v="0"/>
    <n v="80"/>
    <m/>
    <x v="0"/>
    <x v="0"/>
    <n v="1126000"/>
    <n v="69"/>
    <d v="2012-11-30T00:00:00"/>
    <x v="0"/>
    <x v="1"/>
    <s v="NO LIBERADO"/>
    <s v="BANCOMER"/>
    <m/>
    <n v="563000"/>
    <n v="112600"/>
    <n v="450400"/>
    <n v="0"/>
    <n v="112600"/>
    <s v="20%"/>
    <n v="0.8"/>
    <d v="2012-06-10T00:00:00"/>
    <d v="2012-06-10T00:00:00"/>
    <d v="2012-06-10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1"/>
    <s v="PTA NORTE "/>
    <s v="020312"/>
    <x v="0"/>
    <n v="3"/>
    <n v="12"/>
    <s v="ESTRELLA VIAJERA"/>
    <m/>
    <x v="0"/>
    <n v="80"/>
    <m/>
    <x v="1"/>
    <x v="0"/>
    <n v="1135000"/>
    <n v="70"/>
    <d v="2012-11-30T00:00:00"/>
    <x v="0"/>
    <x v="1"/>
    <s v="NO LIBERADO"/>
    <s v="BANCOMER"/>
    <m/>
    <n v="567500"/>
    <n v="113500"/>
    <n v="454000"/>
    <n v="0"/>
    <n v="113500"/>
    <s v="20%"/>
    <n v="0.8"/>
    <d v="2012-06-09T00:00:00"/>
    <d v="2012-06-09T00:00:00"/>
    <d v="2012-06-09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2"/>
    <s v="PTA NORTE "/>
    <s v="020313"/>
    <x v="0"/>
    <n v="3"/>
    <n v="13"/>
    <s v="ESTRELLA VIAJERA"/>
    <m/>
    <x v="0"/>
    <n v="80"/>
    <m/>
    <x v="0"/>
    <x v="0"/>
    <n v="1126000"/>
    <n v="71"/>
    <d v="2012-11-30T00:00:00"/>
    <x v="0"/>
    <x v="1"/>
    <s v="NO LIBERADO"/>
    <s v="BANCOMER"/>
    <m/>
    <n v="563000"/>
    <n v="112600"/>
    <n v="450400"/>
    <n v="0"/>
    <n v="112600"/>
    <s v="20%"/>
    <n v="0.8"/>
    <d v="2012-05-20T00:00:00"/>
    <d v="2012-05-20T00:00:00"/>
    <d v="2012-05-20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3"/>
    <s v="PTA NORTE "/>
    <s v="020314"/>
    <x v="0"/>
    <n v="3"/>
    <n v="14"/>
    <s v="ESTRELLA VIAJERA"/>
    <m/>
    <x v="0"/>
    <n v="80"/>
    <m/>
    <x v="0"/>
    <x v="0"/>
    <n v="1126000"/>
    <n v="72"/>
    <d v="2012-11-30T00:00:00"/>
    <x v="0"/>
    <x v="1"/>
    <s v="NO LIBERADO"/>
    <s v="BANCOMER"/>
    <m/>
    <n v="563000"/>
    <n v="112600"/>
    <n v="450400"/>
    <n v="0"/>
    <n v="112600"/>
    <s v="20%"/>
    <n v="0.8"/>
    <d v="2012-03-14T00:00:00"/>
    <d v="2012-03-14T00:00:00"/>
    <d v="2012-03-14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4"/>
    <s v="PTA NORTE "/>
    <s v="020315"/>
    <x v="0"/>
    <n v="3"/>
    <n v="15"/>
    <s v="ESTRELLA VIAJERA"/>
    <m/>
    <x v="0"/>
    <n v="83.161000000000001"/>
    <m/>
    <x v="1"/>
    <x v="0"/>
    <n v="1147011.8"/>
    <n v="73"/>
    <d v="2012-11-30T00:00:00"/>
    <x v="0"/>
    <x v="1"/>
    <s v="NO LIBERADO"/>
    <s v="BANCOMER"/>
    <m/>
    <n v="573505.9"/>
    <n v="114701.18000000001"/>
    <n v="458804.72000000003"/>
    <n v="0"/>
    <n v="114701.18000000001"/>
    <s v="20%"/>
    <n v="0.8"/>
    <d v="2012-07-16T00:00:00"/>
    <d v="2012-07-16T00:00:00"/>
    <d v="2012-07-16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823.3726666666666"/>
    <n v="3823.3726666666666"/>
    <n v="3823.3726666666666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5"/>
    <s v="PTA NORTE "/>
    <s v="020401"/>
    <x v="0"/>
    <n v="4"/>
    <n v="1"/>
    <s v="ESTRELLA MARINA"/>
    <m/>
    <x v="0"/>
    <n v="83.037999999999997"/>
    <m/>
    <x v="0"/>
    <x v="0"/>
    <n v="1137544.3999999999"/>
    <n v="74"/>
    <d v="2012-11-30T00:00:00"/>
    <x v="0"/>
    <x v="1"/>
    <s v="NO LIBERADO"/>
    <s v="BANCOMER"/>
    <m/>
    <n v="568772.19999999995"/>
    <n v="113754.44"/>
    <n v="455017.75999999995"/>
    <n v="0"/>
    <n v="113754.44"/>
    <s v="20%"/>
    <n v="0.8"/>
    <d v="2012-06-30T00:00:00"/>
    <d v="2012-06-30T00:00:00"/>
    <d v="2012-06-30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91.8146666666667"/>
    <n v="3791.8146666666667"/>
    <n v="3791.8146666666667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6"/>
    <s v="PTA NORTE "/>
    <s v="020402"/>
    <x v="0"/>
    <n v="4"/>
    <n v="2"/>
    <s v="ESTRELLA MARINA"/>
    <m/>
    <x v="0"/>
    <n v="80"/>
    <m/>
    <x v="0"/>
    <x v="0"/>
    <n v="1126000"/>
    <n v="75"/>
    <d v="2012-11-30T00:00:00"/>
    <x v="0"/>
    <x v="1"/>
    <s v="NO LIBERADO"/>
    <s v="BANCOMER"/>
    <m/>
    <n v="563000"/>
    <n v="444770"/>
    <n v="118230"/>
    <n v="0"/>
    <n v="444770"/>
    <s v="80%"/>
    <n v="0.19999999999999996"/>
    <m/>
    <m/>
    <m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ND"/>
    <s v="ND"/>
    <s v="ND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7"/>
    <s v="PTA NORTE "/>
    <s v="020403"/>
    <x v="0"/>
    <n v="4"/>
    <n v="3"/>
    <s v="ESTRELLA MARINA"/>
    <m/>
    <x v="0"/>
    <n v="80"/>
    <m/>
    <x v="1"/>
    <x v="0"/>
    <n v="1135000"/>
    <n v="76"/>
    <d v="2012-11-30T00:00:00"/>
    <x v="0"/>
    <x v="1"/>
    <s v="NO LIBERADO"/>
    <s v="BANCOMER"/>
    <m/>
    <n v="567500"/>
    <n v="448325"/>
    <n v="119175"/>
    <n v="0"/>
    <n v="448325"/>
    <s v="80%"/>
    <n v="0.19999999999999996"/>
    <m/>
    <m/>
    <m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ND"/>
    <s v="ND"/>
    <s v="ND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8"/>
    <s v="PTA NORTE "/>
    <s v="020404"/>
    <x v="0"/>
    <n v="4"/>
    <n v="4"/>
    <s v="ESTRELLA MARINA"/>
    <m/>
    <x v="0"/>
    <n v="80"/>
    <m/>
    <x v="0"/>
    <x v="0"/>
    <n v="1126000"/>
    <n v="77"/>
    <d v="2012-11-30T00:00:00"/>
    <x v="0"/>
    <x v="1"/>
    <s v="NO LIBERADO"/>
    <s v="BANCOMER"/>
    <m/>
    <n v="563000"/>
    <n v="444770"/>
    <n v="118230"/>
    <n v="0"/>
    <n v="444770"/>
    <s v="80%"/>
    <n v="0.19999999999999996"/>
    <m/>
    <m/>
    <m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ND"/>
    <s v="ND"/>
    <s v="ND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9"/>
    <s v="PTA NORTE "/>
    <s v="020405"/>
    <x v="0"/>
    <n v="4"/>
    <n v="5"/>
    <s v="ESTRELLA MARINA"/>
    <m/>
    <x v="0"/>
    <n v="80"/>
    <m/>
    <x v="0"/>
    <x v="0"/>
    <n v="1126000"/>
    <n v="78"/>
    <d v="2012-11-30T00:00:00"/>
    <x v="0"/>
    <x v="1"/>
    <s v="NO LIBERADO"/>
    <s v="BANCOMER"/>
    <m/>
    <n v="563000"/>
    <n v="444770"/>
    <n v="118230"/>
    <n v="0"/>
    <n v="444770"/>
    <s v="80%"/>
    <n v="0.19999999999999996"/>
    <m/>
    <m/>
    <m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ND"/>
    <s v="ND"/>
    <s v="ND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0"/>
    <s v="PTA NORTE "/>
    <s v="020406"/>
    <x v="0"/>
    <n v="4"/>
    <n v="6"/>
    <s v="ESTRELLA MARINA"/>
    <m/>
    <x v="0"/>
    <n v="80"/>
    <m/>
    <x v="1"/>
    <x v="0"/>
    <n v="1135000"/>
    <n v="79"/>
    <d v="2012-11-30T00:00:00"/>
    <x v="0"/>
    <x v="1"/>
    <s v="NO LIBERADO"/>
    <s v="BANCOMER"/>
    <m/>
    <n v="567500"/>
    <n v="448325"/>
    <n v="119175"/>
    <n v="0"/>
    <n v="448325"/>
    <s v="80%"/>
    <n v="0.19999999999999996"/>
    <m/>
    <m/>
    <m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ND"/>
    <s v="ND"/>
    <s v="ND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1"/>
    <s v="PTA NORTE "/>
    <s v="020407"/>
    <x v="0"/>
    <n v="4"/>
    <n v="7"/>
    <s v="ESTRELLA MARINA"/>
    <m/>
    <x v="0"/>
    <n v="80"/>
    <m/>
    <x v="0"/>
    <x v="0"/>
    <n v="1126000"/>
    <n v="80"/>
    <d v="2012-11-30T00:00:00"/>
    <x v="0"/>
    <x v="1"/>
    <s v="NO LIBERADO"/>
    <s v="BANCOMER"/>
    <m/>
    <n v="563000"/>
    <n v="444770"/>
    <n v="118230"/>
    <n v="0"/>
    <n v="444770"/>
    <s v="80%"/>
    <n v="0.19999999999999996"/>
    <m/>
    <m/>
    <m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ND"/>
    <s v="ND"/>
    <s v="ND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2"/>
    <s v="PTA NORTE "/>
    <s v="020408"/>
    <x v="0"/>
    <n v="4"/>
    <n v="8"/>
    <s v="ESTRELLA MARINA"/>
    <m/>
    <x v="0"/>
    <n v="80"/>
    <m/>
    <x v="1"/>
    <x v="0"/>
    <n v="1135000"/>
    <n v="81"/>
    <d v="2012-11-30T00:00:00"/>
    <x v="0"/>
    <x v="1"/>
    <s v="NO LIBERADO"/>
    <s v="BANCOMER"/>
    <m/>
    <n v="567500"/>
    <n v="448325"/>
    <n v="119175"/>
    <n v="0"/>
    <n v="448325"/>
    <s v="80%"/>
    <n v="0.19999999999999996"/>
    <m/>
    <m/>
    <m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ND"/>
    <s v="ND"/>
    <s v="ND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3"/>
    <s v="PTA NORTE "/>
    <s v="020409"/>
    <x v="0"/>
    <n v="4"/>
    <n v="9"/>
    <s v="ESTRELLA MARINA"/>
    <m/>
    <x v="0"/>
    <n v="80"/>
    <m/>
    <x v="0"/>
    <x v="0"/>
    <n v="1126000"/>
    <n v="82"/>
    <d v="2012-11-30T00:00:00"/>
    <x v="0"/>
    <x v="1"/>
    <s v="NO LIBERADO"/>
    <s v="BANCOMER"/>
    <m/>
    <n v="563000"/>
    <n v="444770"/>
    <n v="118230"/>
    <n v="0"/>
    <n v="444770"/>
    <s v="80%"/>
    <n v="0.19999999999999996"/>
    <m/>
    <m/>
    <m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ND"/>
    <s v="ND"/>
    <s v="ND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4"/>
    <s v="PTA NORTE "/>
    <s v="020410"/>
    <x v="0"/>
    <n v="4"/>
    <n v="10"/>
    <s v="ESTRELLA MARINA"/>
    <m/>
    <x v="0"/>
    <n v="80"/>
    <m/>
    <x v="0"/>
    <x v="0"/>
    <n v="1126000"/>
    <n v="83"/>
    <d v="2012-11-30T00:00:00"/>
    <x v="0"/>
    <x v="1"/>
    <s v="NO LIBERADO"/>
    <s v="BANCOMER"/>
    <m/>
    <n v="563000"/>
    <n v="444770"/>
    <n v="118230"/>
    <n v="0"/>
    <n v="444770"/>
    <s v="80%"/>
    <n v="0.19999999999999996"/>
    <m/>
    <m/>
    <m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ND"/>
    <s v="ND"/>
    <s v="ND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5"/>
    <s v="PTA NORTE "/>
    <s v="020411"/>
    <x v="0"/>
    <n v="4"/>
    <n v="11"/>
    <s v="ESTRELLA MARINA"/>
    <m/>
    <x v="0"/>
    <n v="80"/>
    <m/>
    <x v="1"/>
    <x v="0"/>
    <n v="1135000"/>
    <n v="84"/>
    <d v="2012-11-30T00:00:00"/>
    <x v="0"/>
    <x v="1"/>
    <s v="NO LIBERADO"/>
    <s v="BANCOMER"/>
    <m/>
    <n v="567500"/>
    <n v="448325"/>
    <n v="119175"/>
    <n v="0"/>
    <n v="448325"/>
    <s v="80%"/>
    <n v="0.19999999999999996"/>
    <d v="2012-06-07T00:00:00"/>
    <d v="2012-06-07T00:00:00"/>
    <d v="2012-06-0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6"/>
    <s v="PTA NORTE "/>
    <s v="020412"/>
    <x v="0"/>
    <n v="4"/>
    <n v="12"/>
    <s v="ESTRELLA MARINA"/>
    <m/>
    <x v="0"/>
    <n v="80"/>
    <m/>
    <x v="0"/>
    <x v="0"/>
    <n v="1126000"/>
    <n v="85"/>
    <d v="2012-11-30T00:00:00"/>
    <x v="0"/>
    <x v="1"/>
    <s v="NO LIBERADO"/>
    <s v="BANCOMER"/>
    <m/>
    <n v="563000"/>
    <n v="444770"/>
    <n v="118230"/>
    <n v="0"/>
    <n v="444770"/>
    <s v="80%"/>
    <n v="0.19999999999999996"/>
    <d v="2012-06-10T00:00:00"/>
    <d v="2012-06-10T00:00:00"/>
    <d v="2012-06-10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7"/>
    <s v="PTA NORTE "/>
    <s v="020413"/>
    <x v="0"/>
    <n v="4"/>
    <n v="13"/>
    <s v="ESTRELLA MARINA"/>
    <m/>
    <x v="0"/>
    <n v="80"/>
    <m/>
    <x v="0"/>
    <x v="0"/>
    <n v="1126000"/>
    <n v="86"/>
    <d v="2012-11-30T00:00:00"/>
    <x v="0"/>
    <x v="1"/>
    <s v="NO LIBERADO"/>
    <s v="BANCOMER"/>
    <m/>
    <n v="563000"/>
    <n v="444770"/>
    <n v="118230"/>
    <n v="0"/>
    <n v="444770"/>
    <s v="80%"/>
    <n v="0.19999999999999996"/>
    <d v="2012-06-09T00:00:00"/>
    <d v="2012-06-09T00:00:00"/>
    <d v="2012-06-09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8"/>
    <s v="PTA NORTE "/>
    <s v="020414"/>
    <x v="0"/>
    <n v="4"/>
    <n v="14"/>
    <s v="ESTRELLA MARINA"/>
    <m/>
    <x v="0"/>
    <n v="80"/>
    <m/>
    <x v="1"/>
    <x v="0"/>
    <n v="1135000"/>
    <n v="87"/>
    <d v="2012-11-30T00:00:00"/>
    <x v="0"/>
    <x v="1"/>
    <s v="NO LIBERADO"/>
    <s v="BANCOMER"/>
    <m/>
    <n v="567500"/>
    <n v="448325"/>
    <n v="119175"/>
    <n v="0"/>
    <n v="448325"/>
    <s v="80%"/>
    <n v="0.19999999999999996"/>
    <d v="2012-05-20T00:00:00"/>
    <d v="2012-05-20T00:00:00"/>
    <d v="2012-05-20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9"/>
    <s v="PTA NORTE "/>
    <s v="020415"/>
    <x v="0"/>
    <n v="4"/>
    <n v="15"/>
    <s v="ESTRELLA MARINA"/>
    <m/>
    <x v="0"/>
    <n v="80"/>
    <m/>
    <x v="0"/>
    <x v="0"/>
    <n v="1126000"/>
    <n v="88"/>
    <d v="2012-11-30T00:00:00"/>
    <x v="0"/>
    <x v="1"/>
    <s v="NO LIBERADO"/>
    <s v="BANCOMER"/>
    <m/>
    <n v="563000"/>
    <n v="28150"/>
    <n v="534850"/>
    <n v="0"/>
    <n v="28150"/>
    <s v="5%"/>
    <n v="0.95"/>
    <d v="2012-07-06T00:00:00"/>
    <d v="2012-07-06T00:00:00"/>
    <d v="2012-07-06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0"/>
    <s v="PTA NORTE "/>
    <s v="020416"/>
    <x v="0"/>
    <n v="4"/>
    <n v="16"/>
    <s v="ESTRELLA MARINA"/>
    <m/>
    <x v="0"/>
    <n v="80"/>
    <m/>
    <x v="0"/>
    <x v="0"/>
    <n v="1126000"/>
    <n v="89"/>
    <d v="2012-11-30T00:00:00"/>
    <x v="0"/>
    <x v="1"/>
    <s v="NO LIBERADO"/>
    <s v="BANCOMER"/>
    <m/>
    <n v="563000"/>
    <n v="28150"/>
    <n v="534850"/>
    <n v="0"/>
    <n v="28150"/>
    <s v="5%"/>
    <n v="0.95"/>
    <d v="2012-03-14T00:00:00"/>
    <d v="2012-03-14T00:00:00"/>
    <d v="2012-03-14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1"/>
    <s v="PTA NORTE "/>
    <s v="020417"/>
    <x v="0"/>
    <n v="4"/>
    <n v="17"/>
    <s v="ESTRELLA MARINA"/>
    <m/>
    <x v="0"/>
    <n v="82.852999999999994"/>
    <m/>
    <x v="1"/>
    <x v="0"/>
    <n v="1145841.3999999999"/>
    <n v="90"/>
    <d v="2012-11-30T00:00:00"/>
    <x v="0"/>
    <x v="1"/>
    <s v="NO LIBERADO"/>
    <s v="BANCOMER"/>
    <m/>
    <n v="572920.69999999995"/>
    <n v="28646.035"/>
    <n v="544274.66499999992"/>
    <n v="0"/>
    <n v="28646.035"/>
    <s v="5%"/>
    <n v="0.95"/>
    <d v="2012-07-16T00:00:00"/>
    <d v="2012-07-16T00:00:00"/>
    <d v="2012-07-16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819.471333333333"/>
    <n v="3819.471333333333"/>
    <n v="3819.471333333333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2"/>
    <s v="PTA NORTE "/>
    <s v="020501"/>
    <x v="0"/>
    <n v="5"/>
    <n v="1"/>
    <s v="ESTRELLA FUGAZ"/>
    <m/>
    <x v="0"/>
    <n v="82.73"/>
    <m/>
    <x v="1"/>
    <x v="0"/>
    <n v="1145374"/>
    <n v="91"/>
    <d v="2012-12-15T00:00:00"/>
    <x v="1"/>
    <x v="1"/>
    <s v="NO LIBERADO"/>
    <s v="BANCOMER"/>
    <m/>
    <n v="572687"/>
    <n v="28634.350000000002"/>
    <n v="544052.65"/>
    <n v="0"/>
    <n v="28634.350000000002"/>
    <s v="5%"/>
    <n v="0.95"/>
    <d v="2012-06-30T00:00:00"/>
    <d v="2012-06-30T00:00:00"/>
    <d v="2012-06-30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817.9133333333334"/>
    <n v="3817.9133333333334"/>
    <n v="3817.9133333333334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3"/>
    <s v="PTA NORTE "/>
    <s v="020502"/>
    <x v="0"/>
    <n v="5"/>
    <n v="2"/>
    <s v="ESTRELLA FUGAZ"/>
    <m/>
    <x v="0"/>
    <n v="80"/>
    <m/>
    <x v="0"/>
    <x v="0"/>
    <n v="1126000"/>
    <n v="92"/>
    <d v="2012-12-15T00:00:00"/>
    <x v="1"/>
    <x v="1"/>
    <s v="NO LIBERADO"/>
    <s v="BANCOMER"/>
    <m/>
    <n v="563000"/>
    <n v="28150"/>
    <n v="534850"/>
    <n v="0"/>
    <n v="28150"/>
    <s v="5%"/>
    <n v="0.95"/>
    <d v="2012-06-15T00:00:00"/>
    <d v="2012-06-15T00:00:00"/>
    <d v="2012-06-15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4"/>
    <s v="PTA NORTE "/>
    <s v="020503"/>
    <x v="0"/>
    <n v="5"/>
    <n v="3"/>
    <s v="ESTRELLA FUGAZ"/>
    <m/>
    <x v="0"/>
    <n v="80"/>
    <m/>
    <x v="0"/>
    <x v="0"/>
    <n v="1126000"/>
    <n v="93"/>
    <d v="2012-12-15T00:00:00"/>
    <x v="1"/>
    <x v="1"/>
    <s v="NO LIBERADO"/>
    <s v="BANCOMER"/>
    <m/>
    <n v="563000"/>
    <n v="28150"/>
    <n v="534850"/>
    <n v="0"/>
    <n v="28150"/>
    <s v="5%"/>
    <n v="0.95"/>
    <d v="2012-06-01T00:00:00"/>
    <d v="2012-06-01T00:00:00"/>
    <d v="2012-06-01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5"/>
    <s v="PTA NORTE "/>
    <s v="020504"/>
    <x v="0"/>
    <n v="5"/>
    <n v="4"/>
    <s v="ESTRELLA FUGAZ"/>
    <m/>
    <x v="0"/>
    <n v="80"/>
    <m/>
    <x v="1"/>
    <x v="0"/>
    <n v="1135000"/>
    <n v="94"/>
    <d v="2012-12-15T00:00:00"/>
    <x v="1"/>
    <x v="1"/>
    <s v="NO LIBERADO"/>
    <s v="BANCOMER"/>
    <m/>
    <n v="567500"/>
    <n v="28375"/>
    <n v="539125"/>
    <n v="0"/>
    <n v="28375"/>
    <s v="5%"/>
    <n v="0.95"/>
    <d v="2012-06-07T00:00:00"/>
    <d v="2012-06-07T00:00:00"/>
    <d v="2012-06-0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6"/>
    <s v="PTA NORTE "/>
    <s v="020505"/>
    <x v="0"/>
    <n v="5"/>
    <n v="5"/>
    <s v="ESTRELLA FUGAZ"/>
    <m/>
    <x v="0"/>
    <n v="80"/>
    <m/>
    <x v="0"/>
    <x v="0"/>
    <n v="1126000"/>
    <n v="95"/>
    <d v="2012-12-15T00:00:00"/>
    <x v="1"/>
    <x v="1"/>
    <s v="NO LIBERADO"/>
    <s v="BANCOMER"/>
    <m/>
    <n v="563000"/>
    <n v="28150"/>
    <n v="534850"/>
    <n v="0"/>
    <n v="28150"/>
    <s v="5%"/>
    <n v="0.95"/>
    <d v="2012-06-10T00:00:00"/>
    <d v="2012-06-10T00:00:00"/>
    <d v="2012-06-10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7"/>
    <s v="PTA NORTE "/>
    <s v="020506"/>
    <x v="0"/>
    <n v="5"/>
    <n v="6"/>
    <s v="ESTRELLA FUGAZ"/>
    <m/>
    <x v="0"/>
    <n v="80"/>
    <m/>
    <x v="0"/>
    <x v="0"/>
    <n v="1126000"/>
    <n v="96"/>
    <d v="2012-12-15T00:00:00"/>
    <x v="1"/>
    <x v="1"/>
    <s v="NO LIBERADO"/>
    <s v="BANCOMER"/>
    <m/>
    <n v="563000"/>
    <n v="28150"/>
    <n v="534850"/>
    <n v="0"/>
    <n v="28150"/>
    <s v="5%"/>
    <n v="0.95"/>
    <d v="2012-06-09T00:00:00"/>
    <d v="2012-06-09T00:00:00"/>
    <d v="2012-06-09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8"/>
    <s v="PTA NORTE "/>
    <s v="020507"/>
    <x v="0"/>
    <n v="5"/>
    <n v="7"/>
    <s v="ESTRELLA FUGAZ"/>
    <m/>
    <x v="0"/>
    <n v="80"/>
    <m/>
    <x v="1"/>
    <x v="0"/>
    <n v="1135000"/>
    <n v="97"/>
    <d v="2012-12-15T00:00:00"/>
    <x v="1"/>
    <x v="1"/>
    <s v="NO LIBERADO"/>
    <s v="BANCOMER"/>
    <m/>
    <n v="567500"/>
    <n v="28375"/>
    <n v="539125"/>
    <n v="0"/>
    <n v="28375"/>
    <s v="5%"/>
    <n v="0.95"/>
    <d v="2012-05-20T00:00:00"/>
    <d v="2012-05-20T00:00:00"/>
    <d v="2012-05-20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9"/>
    <s v="PTA NORTE "/>
    <s v="020508"/>
    <x v="0"/>
    <n v="5"/>
    <n v="8"/>
    <s v="ESTRELLA FUGAZ"/>
    <m/>
    <x v="0"/>
    <n v="80"/>
    <m/>
    <x v="0"/>
    <x v="0"/>
    <n v="1126000"/>
    <n v="98"/>
    <d v="2012-12-15T00:00:00"/>
    <x v="1"/>
    <x v="1"/>
    <s v="NO LIBERADO"/>
    <s v="BANCOMER"/>
    <m/>
    <n v="563000"/>
    <n v="28150"/>
    <n v="534850"/>
    <n v="0"/>
    <n v="28150"/>
    <s v="5%"/>
    <n v="0.95"/>
    <d v="2012-07-06T00:00:00"/>
    <d v="2012-07-06T00:00:00"/>
    <d v="2012-07-06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0"/>
    <s v="PTA NORTE "/>
    <s v="020509"/>
    <x v="0"/>
    <n v="5"/>
    <n v="9"/>
    <s v="ESTRELLA FUGAZ"/>
    <m/>
    <x v="0"/>
    <n v="80"/>
    <m/>
    <x v="0"/>
    <x v="0"/>
    <n v="1126000"/>
    <n v="99"/>
    <d v="2012-12-15T00:00:00"/>
    <x v="1"/>
    <x v="1"/>
    <s v="NO LIBERADO"/>
    <s v="BANCOMER"/>
    <m/>
    <n v="563000"/>
    <n v="28150"/>
    <n v="534850"/>
    <n v="0"/>
    <n v="28150"/>
    <s v="5%"/>
    <n v="0.95"/>
    <d v="2012-03-14T00:00:00"/>
    <d v="2012-03-14T00:00:00"/>
    <d v="2012-03-14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1"/>
    <s v="PTA NORTE "/>
    <s v="020510"/>
    <x v="0"/>
    <n v="5"/>
    <n v="10"/>
    <s v="ESTRELLA FUGAZ"/>
    <m/>
    <x v="0"/>
    <n v="94.759"/>
    <m/>
    <x v="1"/>
    <x v="0"/>
    <n v="1191084.2"/>
    <n v="100"/>
    <d v="2012-12-15T00:00:00"/>
    <x v="1"/>
    <x v="1"/>
    <s v="NO LIBERADO"/>
    <s v="BANCOMER"/>
    <m/>
    <n v="595542.1"/>
    <n v="285860.20799999998"/>
    <n v="309681.89199999999"/>
    <n v="0"/>
    <n v="285860.20799999998"/>
    <s v="50%"/>
    <n v="0.5"/>
    <d v="2012-07-16T00:00:00"/>
    <d v="2012-07-16T00:00:00"/>
    <d v="2012-07-16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970.280666666667"/>
    <n v="3970.280666666667"/>
    <n v="3970.280666666667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2"/>
    <s v="PTA NORTE "/>
    <s v="020511"/>
    <x v="0"/>
    <n v="5"/>
    <n v="11"/>
    <s v="ESTRELLA FUGAZ"/>
    <m/>
    <x v="0"/>
    <n v="80"/>
    <m/>
    <x v="1"/>
    <x v="0"/>
    <n v="1135000"/>
    <n v="101"/>
    <d v="2012-12-15T00:00:00"/>
    <x v="1"/>
    <x v="1"/>
    <s v="NO LIBERADO"/>
    <s v="BANCOMER"/>
    <m/>
    <n v="567500"/>
    <n v="272400"/>
    <n v="295100"/>
    <n v="0"/>
    <n v="272400"/>
    <s v="50%"/>
    <n v="0.5"/>
    <d v="2012-06-30T00:00:00"/>
    <d v="2012-06-30T00:00:00"/>
    <d v="2012-06-30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3"/>
    <s v="PTA NORTE "/>
    <s v="020512"/>
    <x v="0"/>
    <n v="5"/>
    <n v="12"/>
    <s v="ESTRELLA FUGAZ"/>
    <m/>
    <x v="0"/>
    <n v="80"/>
    <m/>
    <x v="0"/>
    <x v="0"/>
    <n v="1126000"/>
    <n v="102"/>
    <d v="2012-12-15T00:00:00"/>
    <x v="1"/>
    <x v="1"/>
    <s v="NO LIBERADO"/>
    <s v="BANCOMER"/>
    <m/>
    <n v="563000"/>
    <n v="270240"/>
    <n v="292760"/>
    <n v="0"/>
    <n v="270240"/>
    <s v="50%"/>
    <n v="0.5"/>
    <d v="2012-06-15T00:00:00"/>
    <d v="2012-06-15T00:00:00"/>
    <d v="2012-06-15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4"/>
    <s v="PTA NORTE "/>
    <s v="020513"/>
    <x v="0"/>
    <n v="5"/>
    <n v="13"/>
    <s v="ESTRELLA FUGAZ"/>
    <m/>
    <x v="0"/>
    <n v="80"/>
    <m/>
    <x v="0"/>
    <x v="0"/>
    <n v="1126000"/>
    <n v="103"/>
    <d v="2012-12-15T00:00:00"/>
    <x v="1"/>
    <x v="1"/>
    <s v="NO LIBERADO"/>
    <s v="BANCOMER"/>
    <m/>
    <n v="563000"/>
    <n v="270240"/>
    <n v="292760"/>
    <n v="0"/>
    <n v="270240"/>
    <s v="50%"/>
    <n v="0.5"/>
    <d v="2012-06-01T00:00:00"/>
    <d v="2012-06-01T00:00:00"/>
    <d v="2012-06-01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5"/>
    <s v="PTA NORTE "/>
    <s v="020514"/>
    <x v="0"/>
    <n v="5"/>
    <n v="14"/>
    <s v="ESTRELLA FUGAZ"/>
    <m/>
    <x v="0"/>
    <n v="80"/>
    <m/>
    <x v="1"/>
    <x v="0"/>
    <n v="1135000"/>
    <n v="104"/>
    <d v="2012-12-15T00:00:00"/>
    <x v="1"/>
    <x v="1"/>
    <s v="NO LIBERADO"/>
    <s v="BANCOMER"/>
    <m/>
    <n v="567500"/>
    <n v="272400"/>
    <n v="295100"/>
    <n v="0"/>
    <n v="272400"/>
    <s v="50%"/>
    <n v="0.5"/>
    <d v="2012-06-07T00:00:00"/>
    <d v="2012-06-07T00:00:00"/>
    <d v="2012-06-0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6"/>
    <s v="PTA NORTE "/>
    <s v="020515"/>
    <x v="0"/>
    <n v="5"/>
    <n v="15"/>
    <s v="ESTRELLA FUGAZ"/>
    <m/>
    <x v="0"/>
    <n v="80"/>
    <m/>
    <x v="0"/>
    <x v="0"/>
    <n v="1126000"/>
    <n v="105"/>
    <d v="2012-12-15T00:00:00"/>
    <x v="1"/>
    <x v="1"/>
    <s v="NO LIBERADO"/>
    <s v="BANCOMER"/>
    <m/>
    <n v="563000"/>
    <n v="270240"/>
    <n v="292760"/>
    <n v="0"/>
    <n v="270240"/>
    <s v="50%"/>
    <n v="0.5"/>
    <d v="2012-06-10T00:00:00"/>
    <d v="2012-06-10T00:00:00"/>
    <d v="2012-06-10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7"/>
    <s v="PTA NORTE "/>
    <s v="020516"/>
    <x v="0"/>
    <n v="5"/>
    <n v="16"/>
    <s v="ESTRELLA FUGAZ"/>
    <m/>
    <x v="0"/>
    <n v="80"/>
    <m/>
    <x v="0"/>
    <x v="0"/>
    <n v="1126000"/>
    <n v="106"/>
    <d v="2012-12-15T00:00:00"/>
    <x v="1"/>
    <x v="1"/>
    <s v="NO LIBERADO"/>
    <s v="BANCOMER"/>
    <m/>
    <n v="563000"/>
    <n v="270240"/>
    <n v="292760"/>
    <n v="0"/>
    <n v="270240"/>
    <s v="50%"/>
    <n v="0.5"/>
    <d v="2012-06-09T00:00:00"/>
    <d v="2012-06-09T00:00:00"/>
    <d v="2012-06-09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8"/>
    <s v="PTA NORTE "/>
    <s v="020517"/>
    <x v="0"/>
    <n v="5"/>
    <n v="17"/>
    <s v="ESTRELLA FUGAZ"/>
    <m/>
    <x v="0"/>
    <n v="80"/>
    <m/>
    <x v="1"/>
    <x v="0"/>
    <n v="1135000"/>
    <n v="107"/>
    <d v="2012-12-15T00:00:00"/>
    <x v="1"/>
    <x v="1"/>
    <s v="NO LIBERADO"/>
    <s v="BANCOMER"/>
    <m/>
    <n v="567500"/>
    <n v="272400"/>
    <n v="295100"/>
    <n v="0"/>
    <n v="272400"/>
    <s v="50%"/>
    <n v="0.5"/>
    <d v="2012-03-14T00:00:00"/>
    <d v="2012-03-14T00:00:00"/>
    <d v="2012-03-14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9"/>
    <s v="PTA NORTE "/>
    <s v="020518"/>
    <x v="0"/>
    <n v="5"/>
    <n v="18"/>
    <s v="ESTRELLA FUGAZ"/>
    <m/>
    <x v="0"/>
    <n v="80"/>
    <m/>
    <x v="0"/>
    <x v="0"/>
    <n v="1126000"/>
    <n v="108"/>
    <d v="2012-12-15T00:00:00"/>
    <x v="1"/>
    <x v="1"/>
    <s v="NO LIBERADO"/>
    <s v="BANCOMER"/>
    <m/>
    <n v="563000"/>
    <n v="270240"/>
    <n v="292760"/>
    <n v="0"/>
    <n v="270240"/>
    <s v="50%"/>
    <n v="0.5"/>
    <d v="2012-07-16T00:00:00"/>
    <d v="2012-07-16T00:00:00"/>
    <d v="2012-07-16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0"/>
    <s v="PTA NORTE "/>
    <s v="020519"/>
    <x v="0"/>
    <n v="5"/>
    <n v="19"/>
    <s v="ESTRELLA FUGAZ"/>
    <m/>
    <x v="0"/>
    <n v="80"/>
    <m/>
    <x v="0"/>
    <x v="0"/>
    <n v="1126000"/>
    <n v="109"/>
    <d v="2012-12-15T00:00:00"/>
    <x v="1"/>
    <x v="1"/>
    <s v="NO LIBERADO"/>
    <s v="BANCOMER"/>
    <m/>
    <n v="563000"/>
    <n v="563000"/>
    <n v="0"/>
    <n v="0"/>
    <n v="563000"/>
    <s v="100%"/>
    <n v="0"/>
    <d v="2012-06-30T00:00:00"/>
    <d v="2012-06-30T00:00:00"/>
    <d v="2012-06-30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1"/>
    <s v="PTA NORTE "/>
    <s v="020520"/>
    <x v="0"/>
    <n v="5"/>
    <n v="20"/>
    <s v="ESTRELLA FUGAZ"/>
    <m/>
    <x v="0"/>
    <n v="82.545000000000002"/>
    <m/>
    <x v="1"/>
    <x v="0"/>
    <n v="1144671"/>
    <n v="110"/>
    <d v="2012-12-15T00:00:00"/>
    <x v="1"/>
    <x v="1"/>
    <s v="NO LIBERADO"/>
    <s v="BANCOMER"/>
    <m/>
    <n v="572335.5"/>
    <n v="572335.5"/>
    <n v="0"/>
    <n v="0"/>
    <n v="572335.5"/>
    <s v="100%"/>
    <n v="0"/>
    <d v="2012-06-15T00:00:00"/>
    <d v="2012-06-15T00:00:00"/>
    <d v="2012-06-15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815.57"/>
    <n v="3815.57"/>
    <n v="3815.57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2"/>
    <s v="PTA NORTE "/>
    <s v="020601"/>
    <x v="0"/>
    <n v="6"/>
    <n v="1"/>
    <s v="ESTRELLA POLAR"/>
    <m/>
    <x v="0"/>
    <n v="82.421000000000006"/>
    <m/>
    <x v="1"/>
    <x v="1"/>
    <n v="1144199.8"/>
    <n v="111"/>
    <d v="2012-09-30T00:00:00"/>
    <x v="2"/>
    <x v="0"/>
    <s v="NO LIBERADO"/>
    <s v="BANCOMER"/>
    <m/>
    <n v="572099.9"/>
    <n v="572099.9"/>
    <n v="0"/>
    <n v="0"/>
    <n v="572099.9"/>
    <s v="100%"/>
    <n v="0"/>
    <d v="2012-06-01T00:00:00"/>
    <d v="2012-06-01T00:00:00"/>
    <d v="2012-06-01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813.9993333333337"/>
    <n v="3813.9993333333337"/>
    <n v="3813.9993333333337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3"/>
    <s v="PTA NORTE "/>
    <s v="020602"/>
    <x v="0"/>
    <n v="6"/>
    <n v="2"/>
    <s v="ESTRELLA POLAR"/>
    <m/>
    <x v="0"/>
    <n v="80"/>
    <m/>
    <x v="0"/>
    <x v="1"/>
    <n v="1126000"/>
    <n v="112"/>
    <d v="2012-09-30T00:00:00"/>
    <x v="2"/>
    <x v="0"/>
    <s v="NO LIBERADO"/>
    <s v="BANCOMER"/>
    <m/>
    <n v="563000"/>
    <n v="563000"/>
    <n v="0"/>
    <n v="0"/>
    <n v="563000"/>
    <s v="100%"/>
    <n v="0"/>
    <d v="2012-03-14T00:00:00"/>
    <d v="2012-03-14T00:00:00"/>
    <d v="2012-03-14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4"/>
    <s v="PTA NORTE "/>
    <s v="020603"/>
    <x v="0"/>
    <n v="6"/>
    <n v="3"/>
    <s v="ESTRELLA POLAR"/>
    <m/>
    <x v="0"/>
    <n v="80"/>
    <m/>
    <x v="0"/>
    <x v="1"/>
    <n v="1126000"/>
    <n v="113"/>
    <d v="2012-09-30T00:00:00"/>
    <x v="2"/>
    <x v="2"/>
    <s v="NO LIBERADO"/>
    <s v="BANCOMER"/>
    <m/>
    <n v="563000"/>
    <n v="563000"/>
    <n v="0"/>
    <n v="0"/>
    <n v="563000"/>
    <s v="100%"/>
    <n v="0"/>
    <d v="2012-07-16T00:00:00"/>
    <d v="2012-07-16T00:00:00"/>
    <d v="2012-07-16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5"/>
    <s v="PTA NORTE "/>
    <s v="020604"/>
    <x v="0"/>
    <n v="6"/>
    <n v="4"/>
    <s v="ESTRELLA POLAR"/>
    <m/>
    <x v="0"/>
    <n v="80"/>
    <m/>
    <x v="1"/>
    <x v="1"/>
    <n v="1135000"/>
    <n v="114"/>
    <d v="2012-09-30T00:00:00"/>
    <x v="2"/>
    <x v="2"/>
    <s v="NO LIBERADO"/>
    <s v="BANCOMER"/>
    <m/>
    <n v="567500"/>
    <n v="567500"/>
    <n v="0"/>
    <n v="0"/>
    <n v="567500"/>
    <s v="100%"/>
    <n v="0"/>
    <d v="2012-06-30T00:00:00"/>
    <d v="2012-06-30T00:00:00"/>
    <d v="2012-06-30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6"/>
    <s v="PTA NORTE "/>
    <s v="020605"/>
    <x v="0"/>
    <n v="6"/>
    <n v="5"/>
    <s v="ESTRELLA POLAR"/>
    <m/>
    <x v="0"/>
    <n v="80"/>
    <m/>
    <x v="0"/>
    <x v="1"/>
    <n v="1126000"/>
    <n v="115"/>
    <d v="2012-09-30T00:00:00"/>
    <x v="2"/>
    <x v="2"/>
    <s v="NO LIBERADO"/>
    <s v="BANCOMER"/>
    <m/>
    <n v="563000"/>
    <n v="563000"/>
    <n v="0"/>
    <n v="0"/>
    <n v="563000"/>
    <s v="100%"/>
    <n v="0"/>
    <d v="2012-06-15T00:00:00"/>
    <d v="2012-06-15T00:00:00"/>
    <d v="2012-06-15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7"/>
    <s v="PTA NORTE "/>
    <s v="020606"/>
    <x v="0"/>
    <n v="6"/>
    <n v="6"/>
    <s v="ESTRELLA POLAR"/>
    <m/>
    <x v="0"/>
    <n v="80"/>
    <m/>
    <x v="0"/>
    <x v="1"/>
    <n v="1126000"/>
    <n v="116"/>
    <d v="2012-09-30T00:00:00"/>
    <x v="2"/>
    <x v="2"/>
    <s v="NO LIBERADO"/>
    <s v="BANCOMER"/>
    <m/>
    <n v="563000"/>
    <n v="563000"/>
    <n v="0"/>
    <n v="0"/>
    <n v="563000"/>
    <s v="100%"/>
    <n v="0"/>
    <d v="2012-06-01T00:00:00"/>
    <d v="2012-06-01T00:00:00"/>
    <d v="2012-06-01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8"/>
    <s v="PTA NORTE "/>
    <s v="020607"/>
    <x v="0"/>
    <n v="6"/>
    <n v="7"/>
    <s v="ESTRELLA POLAR"/>
    <m/>
    <x v="0"/>
    <n v="80"/>
    <m/>
    <x v="1"/>
    <x v="1"/>
    <n v="1135000"/>
    <n v="117"/>
    <d v="2012-09-30T00:00:00"/>
    <x v="2"/>
    <x v="2"/>
    <s v="NO LIBERADO"/>
    <s v="BANCOMER"/>
    <m/>
    <n v="567500"/>
    <n v="567500"/>
    <n v="0"/>
    <n v="0"/>
    <n v="567500"/>
    <s v="100%"/>
    <n v="0"/>
    <d v="2012-06-07T00:00:00"/>
    <d v="2012-06-07T00:00:00"/>
    <d v="2012-06-0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9"/>
    <s v="PTA NORTE "/>
    <s v="020608"/>
    <x v="0"/>
    <n v="6"/>
    <n v="8"/>
    <s v="ESTRELLA POLAR"/>
    <m/>
    <x v="0"/>
    <n v="80"/>
    <m/>
    <x v="0"/>
    <x v="1"/>
    <n v="1126000"/>
    <n v="118"/>
    <d v="2012-09-30T00:00:00"/>
    <x v="2"/>
    <x v="2"/>
    <s v="NO LIBERADO"/>
    <s v="BANCOMER"/>
    <m/>
    <n v="563000"/>
    <n v="563000"/>
    <n v="0"/>
    <n v="0"/>
    <n v="563000"/>
    <s v="100%"/>
    <n v="0"/>
    <d v="2012-06-10T00:00:00"/>
    <d v="2012-06-10T00:00:00"/>
    <d v="2012-06-10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0"/>
    <s v="PTA NORTE "/>
    <s v="020609"/>
    <x v="0"/>
    <n v="6"/>
    <n v="9"/>
    <s v="TARRAGONA"/>
    <m/>
    <x v="0"/>
    <n v="80.322999999999993"/>
    <m/>
    <x v="0"/>
    <x v="1"/>
    <n v="1127227.3999999999"/>
    <n v="119"/>
    <d v="2012-09-30T00:00:00"/>
    <x v="2"/>
    <x v="2"/>
    <s v="NO LIBERADO"/>
    <s v="BANCOMER"/>
    <m/>
    <n v="563613.69999999995"/>
    <n v="563613.69999999995"/>
    <n v="0"/>
    <n v="0"/>
    <n v="563613.69999999995"/>
    <s v="100%"/>
    <n v="0"/>
    <d v="2012-06-09T00:00:00"/>
    <d v="2012-06-09T00:00:00"/>
    <d v="2012-06-09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7.4246666666663"/>
    <n v="3757.4246666666663"/>
    <n v="3757.4246666666663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1"/>
    <s v="PTA NORTE "/>
    <s v="020610"/>
    <x v="0"/>
    <n v="6"/>
    <n v="10"/>
    <s v="TARRAGONA"/>
    <m/>
    <x v="0"/>
    <n v="84.034999999999997"/>
    <m/>
    <x v="0"/>
    <x v="1"/>
    <n v="1141333"/>
    <n v="120"/>
    <d v="2012-09-30T00:00:00"/>
    <x v="2"/>
    <x v="2"/>
    <s v="NO LIBERADO"/>
    <s v="BANCOMER"/>
    <m/>
    <n v="570666.5"/>
    <n v="0"/>
    <n v="570666.5"/>
    <n v="0"/>
    <n v="0"/>
    <s v="5%"/>
    <n v="0.95"/>
    <d v="2012-05-20T00:00:00"/>
    <d v="2012-05-20T00:00:00"/>
    <d v="2012-05-20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804.4433333333332"/>
    <n v="3804.4433333333332"/>
    <n v="3804.4433333333332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2"/>
    <s v="PTA NORTE "/>
    <s v="020611"/>
    <x v="0"/>
    <n v="6"/>
    <n v="11"/>
    <s v="TARRAGONA"/>
    <m/>
    <x v="0"/>
    <n v="105.44199999999999"/>
    <m/>
    <x v="1"/>
    <x v="1"/>
    <n v="1231679.6000000001"/>
    <n v="121"/>
    <d v="2012-09-30T00:00:00"/>
    <x v="2"/>
    <x v="2"/>
    <s v="NO LIBERADO"/>
    <s v="BANCOMER"/>
    <m/>
    <n v="615839.80000000005"/>
    <n v="0"/>
    <n v="615839.80000000005"/>
    <n v="0"/>
    <n v="0"/>
    <s v="5%"/>
    <n v="0.95"/>
    <d v="2012-07-06T00:00:00"/>
    <d v="2012-07-06T00:00:00"/>
    <d v="2012-07-06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4105.5986666666677"/>
    <n v="4105.5986666666677"/>
    <n v="4105.5986666666677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3"/>
    <s v="PTA NORTE "/>
    <s v="020612"/>
    <x v="0"/>
    <n v="6"/>
    <n v="12"/>
    <s v="ESTRELLA POLAR"/>
    <m/>
    <x v="0"/>
    <n v="80"/>
    <m/>
    <x v="0"/>
    <x v="1"/>
    <n v="1126000"/>
    <n v="122"/>
    <d v="2012-10-15T00:00:00"/>
    <x v="3"/>
    <x v="0"/>
    <s v="NO LIBERADO"/>
    <s v="BANCOMER"/>
    <m/>
    <n v="563000"/>
    <n v="0"/>
    <n v="563000"/>
    <n v="0"/>
    <n v="0"/>
    <s v="5%"/>
    <n v="0.95"/>
    <d v="2012-06-30T00:00:00"/>
    <d v="2012-06-30T00:00:00"/>
    <d v="2012-06-30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4"/>
    <s v="PTA NORTE "/>
    <s v="020613"/>
    <x v="0"/>
    <n v="6"/>
    <n v="13"/>
    <s v="ESTRELLA POLAR"/>
    <m/>
    <x v="0"/>
    <n v="80"/>
    <m/>
    <x v="1"/>
    <x v="1"/>
    <n v="1135000"/>
    <n v="123"/>
    <d v="2012-10-15T00:00:00"/>
    <x v="3"/>
    <x v="0"/>
    <s v="NO LIBERADO"/>
    <s v="BANCOMER"/>
    <m/>
    <n v="567500"/>
    <n v="0"/>
    <n v="567500"/>
    <n v="0"/>
    <n v="0"/>
    <s v="5%"/>
    <n v="0.95"/>
    <d v="2012-06-25T00:00:00"/>
    <d v="2012-06-25T00:00:00"/>
    <d v="2012-06-25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5"/>
    <s v="PTA NORTE "/>
    <s v="020614"/>
    <x v="0"/>
    <n v="6"/>
    <n v="14"/>
    <s v="ESTRELLA POLAR"/>
    <m/>
    <x v="0"/>
    <n v="80"/>
    <m/>
    <x v="0"/>
    <x v="1"/>
    <n v="1126000"/>
    <n v="124"/>
    <d v="2012-10-15T00:00:00"/>
    <x v="3"/>
    <x v="0"/>
    <s v="NO LIBERADO"/>
    <s v="BANCOMER"/>
    <m/>
    <n v="563000"/>
    <n v="0"/>
    <n v="563000"/>
    <n v="0"/>
    <n v="0"/>
    <s v="5%"/>
    <n v="0.95"/>
    <d v="2012-06-20T00:00:00"/>
    <d v="2012-06-20T00:00:00"/>
    <d v="2012-06-20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6"/>
    <s v="PTA NORTE "/>
    <s v="020615"/>
    <x v="0"/>
    <n v="6"/>
    <n v="15"/>
    <s v="ESTRELLA POLAR"/>
    <m/>
    <x v="0"/>
    <n v="80"/>
    <m/>
    <x v="0"/>
    <x v="1"/>
    <n v="1126000"/>
    <n v="125"/>
    <d v="2012-10-15T00:00:00"/>
    <x v="3"/>
    <x v="0"/>
    <s v="NO LIBERADO"/>
    <s v="BANCOMER"/>
    <m/>
    <n v="563000"/>
    <n v="0"/>
    <n v="563000"/>
    <n v="0"/>
    <n v="0"/>
    <s v="5%"/>
    <n v="0.95"/>
    <d v="2012-06-15T00:00:00"/>
    <d v="2012-06-15T00:00:00"/>
    <d v="2012-06-15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7"/>
    <s v="PTA NORTE "/>
    <s v="020606"/>
    <x v="0"/>
    <n v="6"/>
    <n v="6"/>
    <s v="ESTRELLA POLAR"/>
    <m/>
    <x v="0"/>
    <n v="80"/>
    <m/>
    <x v="1"/>
    <x v="1"/>
    <n v="1135000"/>
    <n v="126"/>
    <d v="2012-10-15T00:00:00"/>
    <x v="3"/>
    <x v="0"/>
    <s v="NO LIBERADO"/>
    <s v="BANCOMER"/>
    <m/>
    <n v="567500"/>
    <n v="0"/>
    <n v="567500"/>
    <n v="0"/>
    <n v="0"/>
    <s v="5%"/>
    <n v="0.95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8"/>
    <s v="PTA NORTE "/>
    <s v="020617"/>
    <x v="0"/>
    <n v="6"/>
    <n v="17"/>
    <s v="ESTRELLA POLAR"/>
    <m/>
    <x v="0"/>
    <n v="80"/>
    <m/>
    <x v="0"/>
    <x v="1"/>
    <n v="1126000"/>
    <n v="127"/>
    <d v="2012-10-15T00:00:00"/>
    <x v="3"/>
    <x v="0"/>
    <s v="NO LIBERADO"/>
    <s v="BANCOMER"/>
    <m/>
    <n v="563000"/>
    <n v="0"/>
    <n v="563000"/>
    <n v="0"/>
    <n v="0"/>
    <s v="5%"/>
    <n v="0.95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9"/>
    <s v="PTA NORTE "/>
    <s v="020618"/>
    <x v="0"/>
    <n v="6"/>
    <n v="18"/>
    <s v="ESTRELLA POLAR"/>
    <m/>
    <x v="0"/>
    <n v="80"/>
    <m/>
    <x v="0"/>
    <x v="1"/>
    <n v="1126000"/>
    <n v="128"/>
    <d v="2012-10-15T00:00:00"/>
    <x v="3"/>
    <x v="0"/>
    <s v="NO LIBERADO"/>
    <s v="BANCOMER"/>
    <m/>
    <n v="563000"/>
    <n v="0"/>
    <n v="563000"/>
    <n v="0"/>
    <n v="0"/>
    <s v="5%"/>
    <n v="0.95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0"/>
    <s v="PTA NORTE "/>
    <s v="020619"/>
    <x v="0"/>
    <n v="6"/>
    <n v="19"/>
    <s v="ESTRELLA POLAR"/>
    <m/>
    <x v="0"/>
    <n v="80"/>
    <m/>
    <x v="1"/>
    <x v="1"/>
    <n v="1135000"/>
    <n v="129"/>
    <d v="2012-10-15T00:00:00"/>
    <x v="3"/>
    <x v="0"/>
    <s v="NO LIBERADO"/>
    <s v="BANCOMER"/>
    <m/>
    <n v="567500"/>
    <n v="0"/>
    <n v="567500"/>
    <n v="0"/>
    <n v="0"/>
    <s v="5%"/>
    <n v="0.95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1"/>
    <s v="PTA NORTE "/>
    <s v="020620"/>
    <x v="0"/>
    <n v="6"/>
    <n v="20"/>
    <s v="ESTRELLA POLAR"/>
    <m/>
    <x v="0"/>
    <n v="80"/>
    <m/>
    <x v="0"/>
    <x v="1"/>
    <n v="1126000"/>
    <n v="130"/>
    <d v="2012-10-15T00:00:00"/>
    <x v="3"/>
    <x v="0"/>
    <s v="NO LIBERADO"/>
    <s v="BANCOMER"/>
    <m/>
    <n v="563000"/>
    <n v="551740"/>
    <n v="11260"/>
    <n v="0"/>
    <n v="551740"/>
    <s v="99%"/>
    <n v="1.0000000000000009E-2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2"/>
    <s v="PTA NORTE "/>
    <s v="020621"/>
    <x v="0"/>
    <n v="6"/>
    <n v="21"/>
    <s v="ESTRELLA POLAR"/>
    <m/>
    <x v="0"/>
    <n v="80"/>
    <m/>
    <x v="0"/>
    <x v="1"/>
    <n v="1126000"/>
    <n v="131"/>
    <d v="2012-10-15T00:00:00"/>
    <x v="3"/>
    <x v="0"/>
    <s v="NO LIBERADO"/>
    <s v="BANCOMER"/>
    <m/>
    <n v="563000"/>
    <n v="551740"/>
    <n v="11260"/>
    <n v="0"/>
    <n v="551740"/>
    <s v="99%"/>
    <n v="1.0000000000000009E-2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3"/>
    <s v="PTA NORTE "/>
    <s v="020622"/>
    <x v="0"/>
    <n v="6"/>
    <n v="22"/>
    <s v="ESTRELLA POLAR"/>
    <m/>
    <x v="0"/>
    <n v="82.236000000000004"/>
    <m/>
    <x v="1"/>
    <x v="1"/>
    <n v="1143496.8"/>
    <n v="132"/>
    <d v="2012-10-15T00:00:00"/>
    <x v="3"/>
    <x v="0"/>
    <s v="NO LIBERADO"/>
    <s v="BANCOMER"/>
    <m/>
    <n v="571748.4"/>
    <n v="560313.43200000003"/>
    <n v="11434.967999999993"/>
    <n v="0"/>
    <n v="560313.43200000003"/>
    <s v="99%"/>
    <n v="1.0000000000000009E-2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811.6560000000004"/>
    <n v="3811.6560000000004"/>
    <n v="3811.6560000000004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4"/>
    <s v="PTA NORTE "/>
    <s v="020701"/>
    <x v="0"/>
    <n v="7"/>
    <n v="1"/>
    <s v="ESTRELLA LUMINOSA"/>
    <m/>
    <x v="0"/>
    <n v="82.113"/>
    <m/>
    <x v="0"/>
    <x v="1"/>
    <n v="1134029.3999999999"/>
    <n v="133"/>
    <d v="2012-10-15T00:00:00"/>
    <x v="3"/>
    <x v="0"/>
    <s v="NO LIBERADO"/>
    <s v="BANCOMER"/>
    <m/>
    <n v="567014.69999999995"/>
    <n v="555674.40599999996"/>
    <n v="11340.293999999994"/>
    <n v="0"/>
    <n v="555674.40599999996"/>
    <s v="99%"/>
    <n v="1.0000000000000009E-2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0.098"/>
    <n v="3780.098"/>
    <n v="3780.098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5"/>
    <s v="PTA NORTE "/>
    <s v="020702"/>
    <x v="0"/>
    <n v="7"/>
    <n v="2"/>
    <s v="ESTRELLA LUMINOSA"/>
    <m/>
    <x v="0"/>
    <n v="80"/>
    <m/>
    <x v="0"/>
    <x v="1"/>
    <n v="1126000"/>
    <n v="134"/>
    <d v="2012-10-15T00:00:00"/>
    <x v="3"/>
    <x v="0"/>
    <s v="NO LIBERADO"/>
    <s v="BANCOMER"/>
    <m/>
    <n v="563000"/>
    <n v="551740"/>
    <n v="11260"/>
    <n v="0"/>
    <n v="551740"/>
    <s v="99%"/>
    <n v="1.0000000000000009E-2"/>
    <d v="2012-06-23T00:00:00"/>
    <d v="2012-06-23T00:00:00"/>
    <d v="2012-06-2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6"/>
    <s v="PTA NORTE "/>
    <s v="020703"/>
    <x v="0"/>
    <n v="7"/>
    <n v="3"/>
    <s v="ESTRELLA LUMINOSA"/>
    <m/>
    <x v="0"/>
    <n v="80"/>
    <m/>
    <x v="1"/>
    <x v="1"/>
    <n v="1135000"/>
    <n v="135"/>
    <d v="2012-10-15T00:00:00"/>
    <x v="3"/>
    <x v="0"/>
    <s v="NO LIBERADO"/>
    <s v="BANCOMER"/>
    <m/>
    <n v="567500"/>
    <n v="556150"/>
    <n v="11350"/>
    <n v="0"/>
    <n v="556150"/>
    <s v="99%"/>
    <n v="1.0000000000000009E-2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7"/>
    <s v="PTA NORTE "/>
    <s v="020704"/>
    <x v="0"/>
    <n v="7"/>
    <n v="4"/>
    <s v="ESTRELLA LUMINOSA"/>
    <m/>
    <x v="0"/>
    <n v="80"/>
    <m/>
    <x v="0"/>
    <x v="1"/>
    <n v="1126000"/>
    <n v="136"/>
    <d v="2012-10-15T00:00:00"/>
    <x v="3"/>
    <x v="0"/>
    <s v="NO LIBERADO"/>
    <s v="BANCOMER"/>
    <m/>
    <n v="563000"/>
    <n v="551740"/>
    <n v="11260"/>
    <n v="0"/>
    <n v="551740"/>
    <s v="99%"/>
    <n v="1.0000000000000009E-2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8"/>
    <s v="PTA NORTE "/>
    <s v="020705"/>
    <x v="0"/>
    <n v="7"/>
    <n v="5"/>
    <s v="ESTRELLA LUMINOSA"/>
    <m/>
    <x v="0"/>
    <n v="80"/>
    <m/>
    <x v="0"/>
    <x v="1"/>
    <n v="1126000"/>
    <n v="137"/>
    <d v="2012-10-15T00:00:00"/>
    <x v="3"/>
    <x v="0"/>
    <s v="NO LIBERADO"/>
    <s v="BANCOMER"/>
    <m/>
    <n v="563000"/>
    <n v="551740"/>
    <n v="11260"/>
    <n v="0"/>
    <n v="551740"/>
    <s v="99%"/>
    <n v="1.0000000000000009E-2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9"/>
    <s v="PTA NORTE "/>
    <s v="020706"/>
    <x v="0"/>
    <n v="7"/>
    <n v="6"/>
    <s v="ESTRELLA LUMINOSA"/>
    <m/>
    <x v="0"/>
    <n v="80"/>
    <m/>
    <x v="1"/>
    <x v="1"/>
    <n v="1135000"/>
    <n v="138"/>
    <d v="2012-10-15T00:00:00"/>
    <x v="3"/>
    <x v="0"/>
    <s v="NO LIBERADO"/>
    <s v="BANCOMER"/>
    <m/>
    <n v="567500"/>
    <n v="556150"/>
    <n v="11350"/>
    <n v="0"/>
    <n v="556150"/>
    <s v="99%"/>
    <n v="1.0000000000000009E-2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0"/>
    <s v="PTA NORTE "/>
    <s v="020707"/>
    <x v="0"/>
    <n v="7"/>
    <n v="7"/>
    <s v="ESTRELLA LUMINOSA"/>
    <m/>
    <x v="0"/>
    <n v="80"/>
    <m/>
    <x v="0"/>
    <x v="1"/>
    <n v="1126000"/>
    <n v="139"/>
    <d v="2012-10-15T00:00:00"/>
    <x v="3"/>
    <x v="0"/>
    <s v="NO LIBERADO"/>
    <s v="BANCOMER"/>
    <m/>
    <n v="563000"/>
    <n v="551740"/>
    <n v="11260"/>
    <n v="0"/>
    <n v="551740"/>
    <s v="99%"/>
    <n v="1.0000000000000009E-2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1"/>
    <s v="PTA NORTE "/>
    <s v="020708"/>
    <x v="0"/>
    <n v="7"/>
    <n v="8"/>
    <s v="ESTRELLA LUMINOSA"/>
    <m/>
    <x v="0"/>
    <n v="80"/>
    <m/>
    <x v="0"/>
    <x v="1"/>
    <n v="1126000"/>
    <n v="140"/>
    <d v="2012-10-15T00:00:00"/>
    <x v="3"/>
    <x v="0"/>
    <s v="NO LIBERADO"/>
    <s v="BANCOMER"/>
    <m/>
    <n v="563000"/>
    <n v="551740"/>
    <n v="11260"/>
    <n v="0"/>
    <n v="551740"/>
    <s v="99%"/>
    <n v="1.0000000000000009E-2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2"/>
    <s v="PTA NORTE "/>
    <s v="020709"/>
    <x v="0"/>
    <n v="7"/>
    <n v="9"/>
    <s v="ESTRELLA LUMINOSA"/>
    <m/>
    <x v="0"/>
    <n v="80"/>
    <m/>
    <x v="1"/>
    <x v="1"/>
    <n v="1135000"/>
    <n v="141"/>
    <d v="2012-10-15T00:00:00"/>
    <x v="3"/>
    <x v="0"/>
    <s v="NO LIBERADO"/>
    <s v="BANCOMER"/>
    <m/>
    <n v="567500"/>
    <n v="556150"/>
    <n v="11350"/>
    <n v="0"/>
    <n v="556150"/>
    <s v="99%"/>
    <n v="1.0000000000000009E-2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3"/>
    <s v="PTA NORTE "/>
    <s v="020710"/>
    <x v="0"/>
    <n v="7"/>
    <n v="10"/>
    <s v="ESTRELLA LUMINOSA"/>
    <m/>
    <x v="0"/>
    <n v="80"/>
    <m/>
    <x v="0"/>
    <x v="1"/>
    <n v="1126000"/>
    <n v="142"/>
    <d v="2012-10-15T00:00:00"/>
    <x v="3"/>
    <x v="0"/>
    <s v="NO LIBERADO"/>
    <s v="BANCOMER"/>
    <m/>
    <n v="563000"/>
    <n v="551740"/>
    <n v="11260"/>
    <n v="0"/>
    <n v="551740"/>
    <s v="99%"/>
    <n v="1.0000000000000009E-2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4"/>
    <s v="PTA NORTE "/>
    <s v="020711"/>
    <x v="0"/>
    <n v="7"/>
    <n v="11"/>
    <s v="ESTRELLA LUMINOSA"/>
    <m/>
    <x v="0"/>
    <n v="80"/>
    <m/>
    <x v="0"/>
    <x v="1"/>
    <n v="1126000"/>
    <n v="143"/>
    <d v="2012-10-15T00:00:00"/>
    <x v="3"/>
    <x v="0"/>
    <s v="NO LIBERADO"/>
    <s v="BANCOMER"/>
    <m/>
    <n v="563000"/>
    <n v="551740"/>
    <n v="11260"/>
    <n v="0"/>
    <n v="551740"/>
    <s v="99%"/>
    <n v="1.0000000000000009E-2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5"/>
    <s v="PTA NORTE "/>
    <s v="020712"/>
    <x v="0"/>
    <n v="7"/>
    <n v="12"/>
    <s v="ESTRELLA LUMINOSA"/>
    <m/>
    <x v="0"/>
    <n v="80"/>
    <m/>
    <x v="1"/>
    <x v="1"/>
    <n v="1135000"/>
    <n v="144"/>
    <d v="2012-10-15T00:00:00"/>
    <x v="3"/>
    <x v="0"/>
    <s v="NO LIBERADO"/>
    <s v="BANCOMER"/>
    <m/>
    <n v="567500"/>
    <n v="170250"/>
    <n v="397250"/>
    <n v="0"/>
    <n v="170250"/>
    <s v="30%"/>
    <n v="0.7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6"/>
    <s v="PTA NORTE "/>
    <s v="020713"/>
    <x v="0"/>
    <n v="7"/>
    <n v="13"/>
    <s v="ESTRELLA LUMINOSA"/>
    <m/>
    <x v="0"/>
    <n v="114.78100000000001"/>
    <m/>
    <x v="1"/>
    <x v="1"/>
    <n v="1267167.8"/>
    <n v="145"/>
    <d v="2012-10-15T00:00:00"/>
    <x v="3"/>
    <x v="0"/>
    <s v="NO LIBERADO"/>
    <s v="BANCOMER"/>
    <m/>
    <n v="633583.9"/>
    <n v="538546.31500000006"/>
    <n v="95037.584999999963"/>
    <n v="0"/>
    <n v="538546.31500000006"/>
    <s v="85%"/>
    <n v="0.15000000000000002"/>
    <d v="2012-06-23T00:00:00"/>
    <d v="2012-06-23T00:00:00"/>
    <d v="2012-06-2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4223.8926666666666"/>
    <n v="4223.8926666666666"/>
    <n v="4223.8926666666666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7"/>
    <s v="PTA NORTE "/>
    <s v="020714"/>
    <x v="0"/>
    <n v="7"/>
    <n v="14"/>
    <s v="ESTRELLA LUMINOSA"/>
    <m/>
    <x v="0"/>
    <n v="80"/>
    <m/>
    <x v="0"/>
    <x v="1"/>
    <n v="1126000"/>
    <n v="146"/>
    <d v="2012-10-15T00:00:00"/>
    <x v="3"/>
    <x v="0"/>
    <s v="NO LIBERADO"/>
    <s v="BANCOMER"/>
    <m/>
    <n v="563000"/>
    <n v="354690"/>
    <n v="208310"/>
    <n v="0"/>
    <n v="354690"/>
    <s v="65%"/>
    <n v="0.35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8"/>
    <s v="PTA NORTE "/>
    <s v="020715"/>
    <x v="0"/>
    <n v="7"/>
    <n v="15"/>
    <s v="ESTRELLA LUMINOSA"/>
    <m/>
    <x v="0"/>
    <n v="80"/>
    <m/>
    <x v="0"/>
    <x v="1"/>
    <n v="1126000"/>
    <n v="147"/>
    <d v="2012-10-15T00:00:00"/>
    <x v="3"/>
    <x v="0"/>
    <s v="NO LIBERADO"/>
    <s v="BANCOMER"/>
    <m/>
    <n v="563000"/>
    <n v="354690"/>
    <n v="208310"/>
    <n v="0"/>
    <n v="354690"/>
    <s v="65%"/>
    <n v="0.35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9"/>
    <s v="PTA NORTE "/>
    <s v="020716"/>
    <x v="0"/>
    <n v="7"/>
    <n v="16"/>
    <s v="ESTRELLA LUMINOSA"/>
    <m/>
    <x v="0"/>
    <n v="80"/>
    <m/>
    <x v="1"/>
    <x v="1"/>
    <n v="1135000"/>
    <n v="148"/>
    <d v="2012-10-15T00:00:00"/>
    <x v="3"/>
    <x v="0"/>
    <s v="NO LIBERADO"/>
    <s v="BANCOMER"/>
    <m/>
    <n v="567500"/>
    <n v="357525"/>
    <n v="209975"/>
    <n v="0"/>
    <n v="357525"/>
    <s v="65%"/>
    <n v="0.35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0"/>
    <s v="PTA NORTE "/>
    <s v="020717"/>
    <x v="0"/>
    <n v="7"/>
    <n v="17"/>
    <s v="ESTRELLA LUMINOSA"/>
    <m/>
    <x v="0"/>
    <n v="80"/>
    <m/>
    <x v="0"/>
    <x v="1"/>
    <n v="1126000"/>
    <n v="149"/>
    <d v="2012-10-15T00:00:00"/>
    <x v="3"/>
    <x v="0"/>
    <s v="NO LIBERADO"/>
    <s v="BANCOMER"/>
    <m/>
    <n v="563000"/>
    <n v="354690"/>
    <n v="208310"/>
    <n v="0"/>
    <n v="354690"/>
    <s v="65%"/>
    <n v="0.35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1"/>
    <s v="PTA NORTE "/>
    <s v="020718"/>
    <x v="0"/>
    <n v="7"/>
    <n v="18"/>
    <s v="ESTRELLA LUMINOSA"/>
    <m/>
    <x v="0"/>
    <n v="80"/>
    <m/>
    <x v="0"/>
    <x v="1"/>
    <n v="1126000"/>
    <n v="150"/>
    <d v="2012-10-15T00:00:00"/>
    <x v="3"/>
    <x v="0"/>
    <s v="NO LIBERADO"/>
    <s v="BANCOMER"/>
    <m/>
    <n v="563000"/>
    <n v="354690"/>
    <n v="208310"/>
    <n v="0"/>
    <n v="354690"/>
    <s v="65%"/>
    <n v="0.35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2"/>
    <s v="PTA NORTE "/>
    <s v="020719"/>
    <x v="0"/>
    <n v="7"/>
    <n v="19"/>
    <s v="ESTRELLA LUMINOSA"/>
    <m/>
    <x v="0"/>
    <n v="80"/>
    <m/>
    <x v="1"/>
    <x v="1"/>
    <n v="1135000"/>
    <n v="151"/>
    <d v="2012-10-15T00:00:00"/>
    <x v="3"/>
    <x v="0"/>
    <s v="NO LIBERADO"/>
    <s v="BANCOMER"/>
    <m/>
    <n v="567500"/>
    <n v="357525"/>
    <n v="209975"/>
    <n v="0"/>
    <n v="357525"/>
    <s v="65%"/>
    <n v="0.35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3"/>
    <s v="PTA NORTE "/>
    <s v="020720"/>
    <x v="0"/>
    <n v="7"/>
    <n v="20"/>
    <s v="ESTRELLA LUMINOSA"/>
    <m/>
    <x v="0"/>
    <n v="80"/>
    <m/>
    <x v="0"/>
    <x v="1"/>
    <n v="1126000"/>
    <n v="152"/>
    <d v="2012-10-15T00:00:00"/>
    <x v="3"/>
    <x v="0"/>
    <s v="NO LIBERADO"/>
    <s v="BANCOMER"/>
    <m/>
    <n v="563000"/>
    <n v="354690"/>
    <n v="208310"/>
    <n v="0"/>
    <n v="354690"/>
    <s v="65%"/>
    <n v="0.35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4"/>
    <s v="PTA NORTE "/>
    <s v="020721"/>
    <x v="0"/>
    <n v="7"/>
    <n v="21"/>
    <s v="ESTRELLA LUMINOSA"/>
    <m/>
    <x v="0"/>
    <n v="80"/>
    <m/>
    <x v="0"/>
    <x v="1"/>
    <n v="1126000"/>
    <n v="153"/>
    <d v="2012-10-15T00:00:00"/>
    <x v="3"/>
    <x v="0"/>
    <s v="NO LIBERADO"/>
    <s v="BANCOMER"/>
    <m/>
    <n v="563000"/>
    <n v="354690"/>
    <n v="208310"/>
    <n v="0"/>
    <n v="354690"/>
    <s v="65%"/>
    <n v="0.35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5"/>
    <s v="PTA NORTE "/>
    <s v="020722"/>
    <x v="0"/>
    <n v="7"/>
    <n v="22"/>
    <s v="ESTRELLA LUMINOSA"/>
    <m/>
    <x v="0"/>
    <n v="80"/>
    <m/>
    <x v="1"/>
    <x v="1"/>
    <n v="1135000"/>
    <n v="154"/>
    <d v="2012-10-15T00:00:00"/>
    <x v="3"/>
    <x v="0"/>
    <s v="NO LIBERADO"/>
    <s v="BANCOMER"/>
    <m/>
    <n v="567500"/>
    <n v="357525"/>
    <n v="209975"/>
    <n v="0"/>
    <n v="357525"/>
    <s v="65%"/>
    <n v="0.35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6"/>
    <s v="PTA NORTE "/>
    <s v="020723"/>
    <x v="0"/>
    <n v="7"/>
    <n v="23"/>
    <s v="ESTRELLA LUMINOSA"/>
    <m/>
    <x v="0"/>
    <n v="80"/>
    <m/>
    <x v="0"/>
    <x v="1"/>
    <n v="1126000"/>
    <n v="155"/>
    <d v="2012-10-15T00:00:00"/>
    <x v="3"/>
    <x v="0"/>
    <s v="NO LIBERADO"/>
    <s v="BANCOMER"/>
    <m/>
    <n v="563000"/>
    <n v="354690"/>
    <n v="208310"/>
    <n v="0"/>
    <n v="354690"/>
    <s v="65%"/>
    <n v="0.35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7"/>
    <s v="PTA NORTE "/>
    <s v="020724"/>
    <x v="0"/>
    <n v="7"/>
    <n v="24"/>
    <s v="ESTRELLA LUMINOSA"/>
    <m/>
    <x v="0"/>
    <n v="81.927999999999997"/>
    <m/>
    <x v="0"/>
    <x v="1"/>
    <n v="1133326.3999999999"/>
    <n v="156"/>
    <d v="2012-10-15T00:00:00"/>
    <x v="3"/>
    <x v="0"/>
    <s v="NO LIBERADO"/>
    <s v="BANCOMER"/>
    <m/>
    <n v="566663.19999999995"/>
    <n v="356997.81599999999"/>
    <n v="209665.38399999996"/>
    <n v="0"/>
    <n v="356997.81599999999"/>
    <s v="65%"/>
    <n v="0.35"/>
    <d v="2012-06-23T00:00:00"/>
    <d v="2012-06-23T00:00:00"/>
    <d v="2012-06-2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77.7546666666663"/>
    <n v="3777.7546666666663"/>
    <n v="3777.7546666666663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8"/>
    <s v="PTA NORTE "/>
    <s v="020801"/>
    <x v="0"/>
    <n v="8"/>
    <n v="1"/>
    <s v="ESTRELLA PONIENTE"/>
    <m/>
    <x v="0"/>
    <n v="81.805000000000007"/>
    <m/>
    <x v="1"/>
    <x v="1"/>
    <n v="1141859"/>
    <n v="157"/>
    <d v="2012-10-15T00:00:00"/>
    <x v="3"/>
    <x v="0"/>
    <s v="NO LIBERADO"/>
    <s v="BANCOMER"/>
    <m/>
    <n v="570929.5"/>
    <n v="228371.80000000002"/>
    <n v="342557.69999999995"/>
    <n v="0"/>
    <n v="228371.80000000002"/>
    <s v="40%"/>
    <n v="0.6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806.1966666666667"/>
    <n v="3806.1966666666667"/>
    <n v="3806.1966666666667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9"/>
    <s v="PTA NORTE "/>
    <s v="020802"/>
    <x v="0"/>
    <n v="8"/>
    <n v="2"/>
    <s v="ESTRELLA PONIENTE"/>
    <m/>
    <x v="0"/>
    <n v="80"/>
    <m/>
    <x v="0"/>
    <x v="1"/>
    <n v="1126000"/>
    <n v="158"/>
    <d v="2012-10-30T00:00:00"/>
    <x v="3"/>
    <x v="0"/>
    <s v="NO LIBERADO"/>
    <s v="BANCOMER"/>
    <m/>
    <n v="563000"/>
    <n v="225200"/>
    <n v="337800"/>
    <n v="0"/>
    <n v="225200"/>
    <s v="40%"/>
    <n v="0.6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0"/>
    <s v="PTA NORTE "/>
    <s v="020803"/>
    <x v="0"/>
    <n v="8"/>
    <n v="3"/>
    <s v="ESTRELLA PONIENTE"/>
    <m/>
    <x v="0"/>
    <n v="80"/>
    <m/>
    <x v="0"/>
    <x v="1"/>
    <n v="1126000"/>
    <n v="159"/>
    <d v="2012-10-30T00:00:00"/>
    <x v="3"/>
    <x v="0"/>
    <s v="NO LIBERADO"/>
    <s v="BANCOMER"/>
    <m/>
    <n v="563000"/>
    <n v="225200"/>
    <n v="337800"/>
    <n v="0"/>
    <n v="225200"/>
    <s v="40%"/>
    <n v="0.6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1"/>
    <s v="PTA NORTE "/>
    <s v="020804"/>
    <x v="0"/>
    <n v="8"/>
    <n v="4"/>
    <s v="ESTRELLA PONIENTE"/>
    <m/>
    <x v="0"/>
    <n v="80"/>
    <m/>
    <x v="1"/>
    <x v="1"/>
    <n v="1135000"/>
    <n v="160"/>
    <d v="2012-10-30T00:00:00"/>
    <x v="3"/>
    <x v="0"/>
    <s v="NO LIBERADO"/>
    <s v="BANCOMER"/>
    <m/>
    <n v="567500"/>
    <n v="227000"/>
    <n v="340500"/>
    <n v="0"/>
    <n v="227000"/>
    <s v="40%"/>
    <n v="0.6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2"/>
    <s v="PTA NORTE "/>
    <s v="020805"/>
    <x v="0"/>
    <n v="8"/>
    <n v="5"/>
    <s v="ESTRELLA PONIENTE"/>
    <m/>
    <x v="0"/>
    <n v="80"/>
    <m/>
    <x v="0"/>
    <x v="1"/>
    <n v="1126000"/>
    <n v="161"/>
    <d v="2012-10-30T00:00:00"/>
    <x v="3"/>
    <x v="0"/>
    <s v="NO LIBERADO"/>
    <s v="BANCOMER"/>
    <m/>
    <n v="563000"/>
    <n v="225200"/>
    <n v="337800"/>
    <n v="0"/>
    <n v="225200"/>
    <s v="40%"/>
    <n v="0.6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3"/>
    <s v="PTA NORTE "/>
    <s v="020806"/>
    <x v="0"/>
    <n v="8"/>
    <n v="6"/>
    <s v="ESTRELLA PONIENTE"/>
    <m/>
    <x v="0"/>
    <n v="80"/>
    <m/>
    <x v="0"/>
    <x v="1"/>
    <n v="1126000"/>
    <n v="162"/>
    <d v="2012-10-30T00:00:00"/>
    <x v="3"/>
    <x v="0"/>
    <s v="NO LIBERADO"/>
    <s v="BANCOMER"/>
    <m/>
    <n v="563000"/>
    <n v="225200"/>
    <n v="337800"/>
    <n v="0"/>
    <n v="225200"/>
    <s v="40%"/>
    <n v="0.6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4"/>
    <s v="PTA NORTE "/>
    <s v="020807"/>
    <x v="0"/>
    <n v="8"/>
    <n v="7"/>
    <s v="ESTRELLA PONIENTE"/>
    <m/>
    <x v="0"/>
    <n v="80"/>
    <m/>
    <x v="1"/>
    <x v="1"/>
    <n v="1135000"/>
    <n v="163"/>
    <d v="2012-10-30T00:00:00"/>
    <x v="3"/>
    <x v="0"/>
    <s v="NO LIBERADO"/>
    <s v="BANCOMER"/>
    <m/>
    <n v="567500"/>
    <n v="227000"/>
    <n v="340500"/>
    <n v="0"/>
    <n v="227000"/>
    <s v="40%"/>
    <n v="0.6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5"/>
    <s v="PTA NORTE "/>
    <s v="020808"/>
    <x v="0"/>
    <n v="8"/>
    <n v="8"/>
    <s v="ESTRELLA PONIENTE"/>
    <m/>
    <x v="0"/>
    <n v="80"/>
    <m/>
    <x v="0"/>
    <x v="1"/>
    <n v="1126000"/>
    <n v="164"/>
    <d v="2012-10-30T00:00:00"/>
    <x v="3"/>
    <x v="0"/>
    <s v="NO LIBERADO"/>
    <s v="BANCOMER"/>
    <m/>
    <n v="563000"/>
    <n v="225200"/>
    <n v="337800"/>
    <n v="0"/>
    <n v="225200"/>
    <s v="40%"/>
    <n v="0.6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6"/>
    <s v="PTA NORTE "/>
    <s v="020809"/>
    <x v="0"/>
    <n v="8"/>
    <n v="9"/>
    <s v="TARRAGONA"/>
    <m/>
    <x v="0"/>
    <n v="95.784999999999997"/>
    <m/>
    <x v="0"/>
    <x v="1"/>
    <n v="1185983"/>
    <n v="165"/>
    <d v="2012-10-30T00:00:00"/>
    <x v="3"/>
    <x v="0"/>
    <s v="NO LIBERADO"/>
    <s v="BANCOMER"/>
    <m/>
    <n v="592991.5"/>
    <n v="237196.6"/>
    <n v="355794.9"/>
    <n v="0"/>
    <n v="237196.6"/>
    <s v="40%"/>
    <n v="0.6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953.2766666666666"/>
    <n v="3953.2766666666666"/>
    <n v="3953.2766666666666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7"/>
    <s v="PTA NORTE "/>
    <s v="020810"/>
    <x v="0"/>
    <n v="8"/>
    <n v="10"/>
    <s v="TARRAGONA"/>
    <m/>
    <x v="0"/>
    <n v="88.542000000000002"/>
    <m/>
    <x v="0"/>
    <x v="1"/>
    <n v="1158459.6000000001"/>
    <n v="166"/>
    <d v="2012-10-30T00:00:00"/>
    <x v="3"/>
    <x v="0"/>
    <s v="NO LIBERADO"/>
    <s v="BANCOMER"/>
    <m/>
    <n v="579229.80000000005"/>
    <n v="231691.92000000004"/>
    <n v="347537.88"/>
    <n v="0"/>
    <n v="231691.92000000004"/>
    <s v="40%"/>
    <n v="0.6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861.5320000000006"/>
    <n v="3861.5320000000006"/>
    <n v="3861.5320000000006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8"/>
    <s v="PTA NORTE "/>
    <s v="020811"/>
    <x v="0"/>
    <n v="8"/>
    <n v="11"/>
    <s v="TARRAGONA"/>
    <m/>
    <x v="0"/>
    <n v="96.582999999999998"/>
    <m/>
    <x v="1"/>
    <x v="1"/>
    <n v="1198015.3999999999"/>
    <n v="167"/>
    <d v="2012-10-30T00:00:00"/>
    <x v="3"/>
    <x v="0"/>
    <s v="NO LIBERADO"/>
    <s v="BANCOMER"/>
    <m/>
    <n v="599007.69999999995"/>
    <n v="239603.08"/>
    <n v="359404.62"/>
    <n v="0"/>
    <n v="239603.08"/>
    <s v="40%"/>
    <n v="0.6"/>
    <d v="2012-06-23T00:00:00"/>
    <d v="2012-06-23T00:00:00"/>
    <d v="2012-06-2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993.3846666666664"/>
    <n v="3993.3846666666664"/>
    <n v="3993.3846666666664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9"/>
    <s v="PTA NORTE "/>
    <s v="020812"/>
    <x v="0"/>
    <n v="8"/>
    <n v="12"/>
    <s v="ESTRELLA PONIENTE"/>
    <m/>
    <x v="0"/>
    <n v="80"/>
    <m/>
    <x v="0"/>
    <x v="1"/>
    <n v="1126000"/>
    <n v="168"/>
    <d v="2012-10-30T00:00:00"/>
    <x v="3"/>
    <x v="0"/>
    <s v="NO LIBERADO"/>
    <s v="BANCOMER"/>
    <m/>
    <n v="563000"/>
    <n v="112600"/>
    <n v="450400"/>
    <n v="0"/>
    <n v="112600"/>
    <s v="20%"/>
    <n v="0.8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0"/>
    <s v="PTA NORTE "/>
    <s v="020813"/>
    <x v="0"/>
    <n v="8"/>
    <n v="13"/>
    <s v="ESTRELLA PONIENTE"/>
    <m/>
    <x v="0"/>
    <n v="80"/>
    <m/>
    <x v="0"/>
    <x v="1"/>
    <n v="1126000"/>
    <n v="169"/>
    <d v="2012-10-30T00:00:00"/>
    <x v="3"/>
    <x v="0"/>
    <s v="NO LIBERADO"/>
    <s v="BANCOMER"/>
    <m/>
    <n v="563000"/>
    <n v="112600"/>
    <n v="450400"/>
    <n v="0"/>
    <n v="112600"/>
    <s v="20%"/>
    <n v="0.8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1"/>
    <s v="PTA NORTE "/>
    <s v="020814"/>
    <x v="0"/>
    <n v="8"/>
    <n v="14"/>
    <s v="ESTRELLA PONIENTE"/>
    <m/>
    <x v="0"/>
    <n v="80"/>
    <m/>
    <x v="1"/>
    <x v="1"/>
    <n v="1135000"/>
    <n v="170"/>
    <d v="2012-10-30T00:00:00"/>
    <x v="3"/>
    <x v="0"/>
    <s v="NO LIBERADO"/>
    <s v="BANCOMER"/>
    <m/>
    <n v="567500"/>
    <n v="113500"/>
    <n v="454000"/>
    <n v="0"/>
    <n v="113500"/>
    <s v="20%"/>
    <n v="0.8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2"/>
    <s v="PTA NORTE "/>
    <s v="020815"/>
    <x v="0"/>
    <n v="8"/>
    <n v="15"/>
    <s v="ESTRELLA PONIENTE"/>
    <m/>
    <x v="0"/>
    <n v="80"/>
    <m/>
    <x v="0"/>
    <x v="1"/>
    <n v="1126000"/>
    <n v="171"/>
    <d v="2012-10-30T00:00:00"/>
    <x v="3"/>
    <x v="0"/>
    <s v="NO LIBERADO"/>
    <s v="BANCOMER"/>
    <m/>
    <n v="563000"/>
    <n v="112600"/>
    <n v="450400"/>
    <n v="0"/>
    <n v="112600"/>
    <s v="20%"/>
    <n v="0.8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3"/>
    <s v="PTA NORTE "/>
    <s v="020816"/>
    <x v="0"/>
    <n v="8"/>
    <n v="16"/>
    <s v="ESTRELLA PONIENTE"/>
    <m/>
    <x v="0"/>
    <n v="80"/>
    <m/>
    <x v="0"/>
    <x v="1"/>
    <n v="1126000"/>
    <n v="172"/>
    <d v="2012-10-30T00:00:00"/>
    <x v="3"/>
    <x v="0"/>
    <s v="NO LIBERADO"/>
    <s v="BANCOMER"/>
    <m/>
    <n v="563000"/>
    <n v="112600"/>
    <n v="450400"/>
    <n v="0"/>
    <n v="112600"/>
    <s v="20%"/>
    <n v="0.8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4"/>
    <s v="PTA NORTE "/>
    <s v="020817"/>
    <x v="0"/>
    <n v="8"/>
    <n v="17"/>
    <s v="ESTRELLA PONIENTE"/>
    <m/>
    <x v="0"/>
    <n v="80"/>
    <m/>
    <x v="1"/>
    <x v="1"/>
    <n v="1135000"/>
    <n v="173"/>
    <d v="2012-10-30T00:00:00"/>
    <x v="3"/>
    <x v="0"/>
    <s v="NO LIBERADO"/>
    <s v="BANCOMER"/>
    <m/>
    <n v="567500"/>
    <n v="113500"/>
    <n v="454000"/>
    <n v="0"/>
    <n v="113500"/>
    <s v="20%"/>
    <n v="0.8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5"/>
    <s v="PTA NORTE "/>
    <s v="020818"/>
    <x v="0"/>
    <n v="8"/>
    <n v="18"/>
    <s v="ESTRELLA PONIENTE"/>
    <m/>
    <x v="0"/>
    <n v="80"/>
    <m/>
    <x v="0"/>
    <x v="1"/>
    <n v="1126000"/>
    <n v="174"/>
    <d v="2012-10-30T00:00:00"/>
    <x v="3"/>
    <x v="0"/>
    <s v="NO LIBERADO"/>
    <s v="BANCOMER"/>
    <m/>
    <n v="563000"/>
    <n v="112600"/>
    <n v="450400"/>
    <n v="0"/>
    <n v="112600"/>
    <s v="20%"/>
    <n v="0.8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6"/>
    <s v="PTA NORTE "/>
    <s v="020819"/>
    <x v="0"/>
    <n v="8"/>
    <n v="19"/>
    <s v="ESTRELLA PONIENTE"/>
    <m/>
    <x v="0"/>
    <n v="80"/>
    <m/>
    <x v="0"/>
    <x v="1"/>
    <n v="1126000"/>
    <n v="175"/>
    <d v="2012-10-30T00:00:00"/>
    <x v="3"/>
    <x v="0"/>
    <s v="NO LIBERADO"/>
    <s v="BANCOMER"/>
    <m/>
    <n v="563000"/>
    <n v="112600"/>
    <n v="450400"/>
    <n v="0"/>
    <n v="112600"/>
    <s v="20%"/>
    <n v="0.8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7"/>
    <s v="PTA NORTE "/>
    <s v="020820"/>
    <x v="0"/>
    <n v="8"/>
    <n v="20"/>
    <s v="ESTRELLA PONIENTE"/>
    <m/>
    <x v="0"/>
    <n v="81.62"/>
    <m/>
    <x v="1"/>
    <x v="1"/>
    <n v="1141156"/>
    <n v="176"/>
    <d v="2012-10-30T00:00:00"/>
    <x v="3"/>
    <x v="0"/>
    <s v="NO LIBERADO"/>
    <s v="BANCOMER"/>
    <m/>
    <n v="570578"/>
    <n v="114115.6"/>
    <n v="456462.4"/>
    <n v="0"/>
    <n v="114115.6"/>
    <s v="20%"/>
    <n v="0.8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803.853333333333"/>
    <n v="3803.853333333333"/>
    <n v="3803.853333333333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8"/>
    <s v="PTA NORTE "/>
    <s v="020901"/>
    <x v="0"/>
    <n v="9"/>
    <n v="1"/>
    <s v="ESTRELLA NORTE"/>
    <m/>
    <x v="4"/>
    <n v="81.495999999999995"/>
    <m/>
    <x v="1"/>
    <x v="2"/>
    <n v="1140684.8"/>
    <n v="177"/>
    <d v="2012-08-15T00:00:00"/>
    <x v="4"/>
    <x v="3"/>
    <s v="LIBERADO"/>
    <s v="SANTANDER"/>
    <d v="2012-06-01T00:00:00"/>
    <n v="570342.40000000002"/>
    <n v="114068.48000000001"/>
    <n v="0"/>
    <n v="114068.48000000001"/>
    <n v="0"/>
    <s v="20%"/>
    <n v="0.8"/>
    <d v="2012-06-28T00:00:00"/>
    <d v="2012-06-28T00:00:00"/>
    <d v="2012-06-28T00:00:00"/>
    <d v="2012-03-30T00:00:00"/>
    <s v="MAYOR A 2 MESES"/>
    <s v="JOSE LUIS CASILLAS DIAZ"/>
    <m/>
    <m/>
    <m/>
    <m/>
    <m/>
    <m/>
    <n v="32168543"/>
    <n v="3215436"/>
    <m/>
    <s v="SEM 13"/>
    <s v="MAR"/>
    <n v="12000"/>
    <s v="HASTA 12 MIL"/>
    <s v="EXPO"/>
    <s v="APARTADO"/>
    <s v="COFINAVIT"/>
    <s v="MJV"/>
    <d v="2012-03-30T00:00:00"/>
    <s v="FIRMADO"/>
    <d v="2012-04-07T00:00:00"/>
    <d v="2012-04-14T00:00:00"/>
    <d v="2012-04-14T00:00:00"/>
    <m/>
    <d v="2012-04-26T00:00:00"/>
    <m/>
    <m/>
    <n v="86"/>
    <m/>
    <s v="PAGADA"/>
    <s v="PAGADA"/>
    <s v="PAGADA"/>
    <n v="0.01"/>
    <n v="3802.2826666666665"/>
    <n v="3802.2826666666665"/>
    <n v="3802.2826666666665"/>
    <d v="2012-04-10T00:00:00"/>
    <d v="2012-04-30T00:00:00"/>
    <d v="2012-04-30T00:00:00"/>
    <m/>
    <s v="1ERA-ABR-2012"/>
    <s v="2DA-ABR-2012"/>
    <s v="2DA-ABR-2012"/>
    <s v="ND"/>
    <s v="SEM 13"/>
    <s v="MAR"/>
    <s v="SEM 17"/>
    <s v="ABR"/>
    <s v="NA"/>
    <s v=""/>
    <s v="2DA-ABR"/>
    <s v="MAYOR A 2 MESES"/>
    <s v="MAYOR A 2 MESES"/>
    <s v="DE 31 A 35 DIAS"/>
    <s v="DE 31 A 35 DIAS"/>
    <s v="DE 31 A 35 DIAS"/>
    <n v="30000"/>
    <n v="50000"/>
    <n v="120000"/>
    <m/>
    <m/>
    <m/>
    <m/>
    <m/>
    <m/>
    <m/>
    <m/>
    <s v="PAGADO"/>
    <s v="PAGADO"/>
    <m/>
    <m/>
    <m/>
    <m/>
    <m/>
    <m/>
    <m/>
    <m/>
    <n v="0"/>
    <n v="170000"/>
    <n v="0"/>
    <d v="2012-04-15T00:00:00"/>
    <d v="2012-04-30T00:00:00"/>
    <m/>
    <m/>
    <m/>
    <m/>
    <m/>
  </r>
  <r>
    <n v="139"/>
    <s v="PTA NORTE "/>
    <s v="020902"/>
    <x v="0"/>
    <n v="9"/>
    <n v="2"/>
    <s v="ESTRELLA NORTE"/>
    <m/>
    <x v="4"/>
    <n v="80"/>
    <m/>
    <x v="0"/>
    <x v="2"/>
    <n v="1126000"/>
    <n v="178"/>
    <d v="2012-08-15T00:00:00"/>
    <x v="4"/>
    <x v="3"/>
    <s v="LIBERADO"/>
    <s v="SANTANDER"/>
    <d v="2012-06-01T00:00:00"/>
    <n v="563000"/>
    <n v="112600"/>
    <n v="0"/>
    <n v="112600"/>
    <n v="0"/>
    <s v="20%"/>
    <n v="0.8"/>
    <d v="2012-06-23T00:00:00"/>
    <d v="2012-06-23T00:00:00"/>
    <d v="2012-06-23T00:00:00"/>
    <d v="2012-03-30T00:00:00"/>
    <s v="MAYOR A 2 MESES"/>
    <s v="CAROLINA AUZETA PRADO"/>
    <m/>
    <m/>
    <m/>
    <m/>
    <m/>
    <m/>
    <n v="3216543"/>
    <n v="665654"/>
    <m/>
    <s v="SEM 13"/>
    <s v="MAR"/>
    <n v="32000"/>
    <s v="ENTRE 25 Y 35 MIL"/>
    <s v="EXPO"/>
    <s v="APARTADO"/>
    <s v="ALIA2"/>
    <s v="AMG"/>
    <d v="2012-03-30T00:00:00"/>
    <s v="COBRADO"/>
    <d v="2012-04-05T00:00:00"/>
    <d v="2012-04-20T00:00:00"/>
    <d v="2012-04-20T00:00:00"/>
    <m/>
    <d v="2012-05-05T00:00:00"/>
    <d v="2012-05-15T00:00:00"/>
    <m/>
    <n v="58"/>
    <d v="2012-05-30T00:00:00"/>
    <s v="PAGADA"/>
    <s v="PAGADA"/>
    <s v="PAGADA"/>
    <n v="0.01"/>
    <n v="3753.3333333333335"/>
    <n v="3753.3333333333335"/>
    <n v="3753.3333333333335"/>
    <d v="2012-04-06T00:00:00"/>
    <d v="2012-04-30T00:00:00"/>
    <d v="2012-05-15T00:00:00"/>
    <m/>
    <s v="1ERA-ABR-2012"/>
    <s v="2DA-ABR-2012"/>
    <s v="2DA-MAY-2012"/>
    <s v="ND"/>
    <s v="SEM 13"/>
    <s v="MAR"/>
    <s v="SEM 18"/>
    <s v="MAY"/>
    <s v="SEM 22"/>
    <s v="MAY"/>
    <s v="1RA-MAY"/>
    <s v="MAYOR A 2 MESES"/>
    <s v="MAYOR A 2 MESES"/>
    <s v="DE 36 A 45 DIAS"/>
    <s v="DE 36 A 45 DIAS"/>
    <s v="DE 36 A 45 DIAS"/>
    <n v="30000"/>
    <n v="50000"/>
    <n v="75000"/>
    <m/>
    <m/>
    <m/>
    <m/>
    <m/>
    <m/>
    <m/>
    <m/>
    <s v="PAGADO"/>
    <s v="PAGADO"/>
    <m/>
    <m/>
    <m/>
    <m/>
    <m/>
    <m/>
    <m/>
    <m/>
    <n v="0"/>
    <n v="125000"/>
    <n v="0"/>
    <d v="2012-04-15T00:00:00"/>
    <d v="2012-05-01T00:00:00"/>
    <m/>
    <m/>
    <m/>
    <m/>
    <m/>
  </r>
  <r>
    <n v="140"/>
    <s v="PTA NORTE "/>
    <s v="020903"/>
    <x v="0"/>
    <n v="9"/>
    <n v="3"/>
    <s v="ESTRELLA NORTE"/>
    <m/>
    <x v="2"/>
    <n v="80"/>
    <m/>
    <x v="0"/>
    <x v="2"/>
    <n v="1126000"/>
    <n v="179"/>
    <d v="2012-08-15T00:00:00"/>
    <x v="4"/>
    <x v="4"/>
    <s v="LIBERADO"/>
    <s v="SANTANDER"/>
    <d v="2012-06-01T00:00:00"/>
    <n v="563000"/>
    <n v="444770"/>
    <n v="0"/>
    <n v="444770"/>
    <n v="0"/>
    <s v="80%"/>
    <n v="0.19999999999999996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1"/>
    <s v="PTA NORTE "/>
    <s v="020904"/>
    <x v="0"/>
    <n v="9"/>
    <n v="4"/>
    <s v="ESTRELLA NORTE"/>
    <m/>
    <x v="2"/>
    <n v="80"/>
    <m/>
    <x v="1"/>
    <x v="2"/>
    <n v="1135000"/>
    <n v="180"/>
    <d v="2012-08-15T00:00:00"/>
    <x v="4"/>
    <x v="4"/>
    <s v="LIBERADO"/>
    <s v="SANTANDER"/>
    <d v="2012-06-01T00:00:00"/>
    <n v="567500"/>
    <n v="448325"/>
    <n v="0"/>
    <n v="448325"/>
    <n v="0"/>
    <s v="80%"/>
    <n v="0.19999999999999996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2"/>
    <s v="PTA NORTE "/>
    <s v="020905"/>
    <x v="0"/>
    <n v="9"/>
    <n v="5"/>
    <s v="ESTRELLA NORTE"/>
    <m/>
    <x v="3"/>
    <n v="80"/>
    <m/>
    <x v="0"/>
    <x v="2"/>
    <n v="1126000"/>
    <n v="181"/>
    <d v="2012-08-15T00:00:00"/>
    <x v="4"/>
    <x v="4"/>
    <s v="LIBERADO"/>
    <s v="SANTANDER"/>
    <d v="2012-06-01T00:00:00"/>
    <n v="563000"/>
    <n v="444770"/>
    <n v="0"/>
    <n v="444770"/>
    <n v="0"/>
    <s v="80%"/>
    <n v="0.19999999999999996"/>
    <d v="2012-07-28T00:00:00"/>
    <d v="2012-07-28T00:00:00"/>
    <d v="2012-07-28T00:00:00"/>
    <d v="2012-04-20T00:00:00"/>
    <s v="MAYOR A 2 MESES"/>
    <s v="JAVIER SANCHEZ LEDEZMA"/>
    <m/>
    <m/>
    <m/>
    <m/>
    <m/>
    <m/>
    <n v="32516351"/>
    <n v="651"/>
    <n v="351"/>
    <s v="SEM 16"/>
    <s v="ABR"/>
    <n v="7000"/>
    <s v="HASTA 12 MIL"/>
    <s v="ACTIVACION"/>
    <s v="APARTADO"/>
    <s v="OTROS"/>
    <s v="AMG"/>
    <d v="2012-04-30T00:00:00"/>
    <s v="AUTORIZADO"/>
    <d v="2012-05-05T00:00:00"/>
    <d v="2012-08-20T00:00:00"/>
    <d v="2012-05-05T00:00:00"/>
    <m/>
    <m/>
    <m/>
    <m/>
    <n v="86"/>
    <m/>
    <s v="PAGADA"/>
    <s v="PENDIENTE"/>
    <s v="PENDIENTE"/>
    <n v="0.01"/>
    <n v="3753.3333333333335"/>
    <n v="3753.3333333333335"/>
    <n v="3753.3333333333335"/>
    <d v="2012-05-15T00:00:00"/>
    <m/>
    <m/>
    <m/>
    <s v="2DA-MAY-2012"/>
    <s v="ND"/>
    <s v="ND"/>
    <s v="ND"/>
    <s v="SEM 18"/>
    <s v="ABR"/>
    <s v="NA"/>
    <s v=""/>
    <s v="NA"/>
    <s v=""/>
    <s v="2DA-AGO"/>
    <s v="MAYOR A 2 MESES"/>
    <s v="NA"/>
    <s v="HASTA 5 DIAS"/>
    <s v="HASTA 5 DIAS"/>
    <s v="HASTA 5 DIAS"/>
    <n v="30000"/>
    <n v="10000"/>
    <n v="5000"/>
    <n v="50000"/>
    <n v="10000"/>
    <n v="50000"/>
    <m/>
    <m/>
    <m/>
    <m/>
    <m/>
    <s v="PAGADO"/>
    <s v="PAGADO"/>
    <s v="PAGADO"/>
    <s v="PAGADO"/>
    <s v="VIGENTE"/>
    <m/>
    <m/>
    <m/>
    <m/>
    <m/>
    <n v="50000"/>
    <n v="75000"/>
    <n v="0"/>
    <d v="2012-05-15T00:00:00"/>
    <d v="2012-05-30T00:00:00"/>
    <d v="2012-06-14T00:00:00"/>
    <d v="2012-06-29T00:00:00"/>
    <d v="2012-07-29T00:00:00"/>
    <m/>
    <m/>
  </r>
  <r>
    <n v="143"/>
    <s v="PTA NORTE "/>
    <s v="020906"/>
    <x v="0"/>
    <n v="9"/>
    <n v="6"/>
    <s v="ESTRELLA NORTE"/>
    <m/>
    <x v="3"/>
    <n v="80"/>
    <m/>
    <x v="0"/>
    <x v="2"/>
    <n v="1126000"/>
    <n v="182"/>
    <d v="2012-08-15T00:00:00"/>
    <x v="4"/>
    <x v="4"/>
    <s v="LIBERADO"/>
    <s v="SANTANDER"/>
    <d v="2012-06-01T00:00:00"/>
    <n v="563000"/>
    <n v="444770"/>
    <n v="0"/>
    <n v="444770"/>
    <n v="0"/>
    <s v="80%"/>
    <n v="0.19999999999999996"/>
    <d v="2012-07-23T00:00:00"/>
    <d v="2012-07-23T00:00:00"/>
    <d v="2012-07-23T00:00:00"/>
    <d v="2012-04-20T00:00:00"/>
    <s v="MAYOR A 2 MESES"/>
    <s v="ANA PEREZ DEL TORO"/>
    <m/>
    <m/>
    <m/>
    <m/>
    <m/>
    <m/>
    <n v="36514654"/>
    <n v="651"/>
    <n v="321"/>
    <s v="SEM 16"/>
    <s v="ABR"/>
    <n v="8000"/>
    <s v="HASTA 12 MIL"/>
    <s v="PUBLICIDAD"/>
    <s v="APARTADO"/>
    <s v="BANCOS"/>
    <s v="AMG"/>
    <d v="2012-04-20T00:00:00"/>
    <s v="DICTAMINACIÓN"/>
    <d v="2012-04-30T00:00:00"/>
    <d v="2012-08-20T00:00:00"/>
    <d v="2012-05-15T00:00:00"/>
    <m/>
    <m/>
    <m/>
    <m/>
    <n v="86"/>
    <m/>
    <s v="PAGADA"/>
    <s v="PAGADA"/>
    <s v="PENDIENTE"/>
    <n v="0.01"/>
    <n v="3753.3333333333335"/>
    <n v="3753.3333333333335"/>
    <n v="3753.3333333333335"/>
    <d v="2012-05-15T00:00:00"/>
    <d v="2012-05-30T00:00:00"/>
    <m/>
    <m/>
    <s v="2DA-MAY-2012"/>
    <s v="2DA-MAY-2012"/>
    <s v="ND"/>
    <s v="ND"/>
    <s v="SEM 16"/>
    <s v="ABR"/>
    <s v="NA"/>
    <s v=""/>
    <s v="NA"/>
    <s v=""/>
    <s v="2DA-AGO"/>
    <s v="MAYOR A 2 MESES"/>
    <s v="NA"/>
    <s v="DE 6 A 10 DIAS"/>
    <s v="DE 6 A 10 DIAS"/>
    <s v="DE 6 A 10 DIAS"/>
    <n v="30000"/>
    <n v="5000"/>
    <n v="45000"/>
    <n v="15000"/>
    <n v="10000"/>
    <m/>
    <m/>
    <m/>
    <m/>
    <m/>
    <m/>
    <s v="PAGADO"/>
    <s v="PAGADO"/>
    <s v="PAGADO"/>
    <s v="VENCIDO"/>
    <m/>
    <m/>
    <m/>
    <m/>
    <m/>
    <m/>
    <n v="0"/>
    <n v="65000"/>
    <n v="10000"/>
    <d v="2012-05-05T00:00:00"/>
    <d v="2012-05-20T00:00:00"/>
    <d v="2012-06-04T00:00:00"/>
    <d v="2012-06-19T00:00:00"/>
    <m/>
    <m/>
    <m/>
  </r>
  <r>
    <n v="144"/>
    <s v="PTA NORTE "/>
    <s v="020907"/>
    <x v="0"/>
    <n v="9"/>
    <n v="7"/>
    <s v="ESTRELLA NORTE"/>
    <m/>
    <x v="3"/>
    <n v="80"/>
    <m/>
    <x v="1"/>
    <x v="2"/>
    <n v="1135000"/>
    <n v="183"/>
    <d v="2012-08-15T00:00:00"/>
    <x v="4"/>
    <x v="4"/>
    <s v="LIBERADO"/>
    <s v="SANTANDER"/>
    <d v="2012-06-01T00:00:00"/>
    <n v="567500"/>
    <n v="448325"/>
    <n v="0"/>
    <n v="448325"/>
    <n v="0"/>
    <s v="80%"/>
    <n v="0.19999999999999996"/>
    <d v="2012-07-18T00:00:00"/>
    <d v="2012-07-18T00:00:00"/>
    <d v="2012-07-18T00:00:00"/>
    <d v="2012-05-01T00:00:00"/>
    <s v="MAYOR A 2 MESES"/>
    <s v="LUIS SMITH CARMONA"/>
    <m/>
    <m/>
    <m/>
    <m/>
    <m/>
    <m/>
    <n v="6546546"/>
    <n v="651361361"/>
    <n v="321"/>
    <s v="SEM 18"/>
    <s v="MAY"/>
    <n v="15000"/>
    <s v="ENTRE 12 Y 18 MIL"/>
    <s v="PUBLICIDAD"/>
    <s v="APARTADO"/>
    <s v="FOVISSSTE"/>
    <s v="AMG"/>
    <d v="2012-05-05T00:00:00"/>
    <s v="DICTAMINACIÓN"/>
    <d v="2012-05-10T00:00:00"/>
    <d v="2012-08-20T00:00:00"/>
    <d v="2012-05-10T00:00:00"/>
    <m/>
    <m/>
    <m/>
    <m/>
    <n v="130"/>
    <m/>
    <s v="PAGADA"/>
    <s v="PAGADA"/>
    <s v="PENDIENTE"/>
    <n v="0.01"/>
    <n v="3783.3333333333335"/>
    <n v="3783.3333333333335"/>
    <n v="3783.3333333333335"/>
    <d v="2012-05-15T00:00:00"/>
    <d v="2012-05-15T00:00:00"/>
    <m/>
    <m/>
    <s v="2DA-MAY-2012"/>
    <s v="2DA-MAY-2012"/>
    <s v="ND"/>
    <s v="ND"/>
    <s v="SEM 18"/>
    <s v="MAY"/>
    <s v="NA"/>
    <s v=""/>
    <s v="NA"/>
    <s v=""/>
    <s v="2DA-AGO"/>
    <s v="MAYOR A 2 MESES"/>
    <s v="NA"/>
    <s v="DE 11 A 15 DIAS"/>
    <s v="DE 11 A 15 DIAS"/>
    <s v="DE 11 A 15 DIAS"/>
    <n v="30000"/>
    <n v="110000"/>
    <n v="10000"/>
    <m/>
    <m/>
    <m/>
    <m/>
    <m/>
    <m/>
    <m/>
    <m/>
    <s v="PAGADO"/>
    <s v="VENCIDO"/>
    <m/>
    <m/>
    <m/>
    <m/>
    <m/>
    <m/>
    <m/>
    <m/>
    <n v="0"/>
    <n v="110000"/>
    <n v="10000"/>
    <d v="2012-05-20T00:00:00"/>
    <d v="2012-06-04T00:00:00"/>
    <m/>
    <m/>
    <m/>
    <m/>
    <m/>
  </r>
  <r>
    <n v="145"/>
    <s v="PTA NORTE "/>
    <s v="020908"/>
    <x v="0"/>
    <n v="9"/>
    <n v="8"/>
    <s v="ESTRELLA NORTE"/>
    <m/>
    <x v="3"/>
    <n v="80"/>
    <m/>
    <x v="0"/>
    <x v="2"/>
    <n v="1126000"/>
    <n v="184"/>
    <d v="2012-08-15T00:00:00"/>
    <x v="4"/>
    <x v="5"/>
    <s v="LIBERADO"/>
    <s v="SANTANDER"/>
    <d v="2012-06-01T00:00:00"/>
    <n v="563000"/>
    <n v="444770"/>
    <n v="0"/>
    <n v="444770"/>
    <n v="0"/>
    <s v="80%"/>
    <n v="0.19999999999999996"/>
    <d v="2012-07-13T00:00:00"/>
    <d v="2012-07-13T00:00:00"/>
    <d v="2012-07-13T00:00:00"/>
    <d v="2012-05-01T00:00:00"/>
    <s v="MAYOR A 2 MESES"/>
    <s v="JUAN VELASCO ELIZONDO"/>
    <m/>
    <m/>
    <m/>
    <m/>
    <m/>
    <m/>
    <n v="3654684"/>
    <n v="651"/>
    <n v="321"/>
    <s v="SEM 18"/>
    <s v="MAY"/>
    <n v="21000"/>
    <s v="ENTRE 18 Y 25 MIL"/>
    <s v="RECOMENDADO"/>
    <s v="APARTADO"/>
    <s v="BANCOS"/>
    <s v="AMG"/>
    <d v="2012-05-03T00:00:00"/>
    <s v="AUTORIZADO"/>
    <d v="2012-05-10T00:00:00"/>
    <d v="2012-08-20T00:00:00"/>
    <d v="2012-05-15T00:00:00"/>
    <m/>
    <m/>
    <m/>
    <m/>
    <n v="130"/>
    <m/>
    <s v="PAGADA"/>
    <s v="PENDIENTE"/>
    <s v="PENDIENTE"/>
    <n v="0.01"/>
    <n v="3753.3333333333335"/>
    <n v="3753.3333333333335"/>
    <n v="3753.3333333333335"/>
    <d v="2012-05-15T00:00:00"/>
    <m/>
    <m/>
    <m/>
    <s v="2DA-MAY-2012"/>
    <s v="ND"/>
    <s v="ND"/>
    <s v="ND"/>
    <s v="SEM 18"/>
    <s v="MAY"/>
    <s v="NA"/>
    <s v=""/>
    <s v="NA"/>
    <s v=""/>
    <s v="2DA-AGO"/>
    <s v="MAYOR A 2 MESES"/>
    <s v="NA"/>
    <s v="DE 16 A 20 DIAS"/>
    <s v="DE 16 A 20 DIAS"/>
    <s v="DE 16 A 20 DIAS"/>
    <n v="5000"/>
    <n v="10000"/>
    <n v="50000"/>
    <n v="100000"/>
    <n v="5000"/>
    <n v="50000"/>
    <n v="10000"/>
    <m/>
    <m/>
    <m/>
    <m/>
    <s v="PAGADO"/>
    <s v="PAGADO"/>
    <s v="PAGADO"/>
    <s v="PAGADO"/>
    <s v="VIGENTE"/>
    <s v="VIGENTE"/>
    <m/>
    <m/>
    <m/>
    <m/>
    <n v="60000"/>
    <n v="165000"/>
    <n v="0"/>
    <d v="2012-05-18T00:00:00"/>
    <d v="2012-06-02T00:00:00"/>
    <d v="2012-06-17T00:00:00"/>
    <d v="2012-07-02T00:00:00"/>
    <d v="2012-07-22T00:00:00"/>
    <d v="2012-07-30T00:00:00"/>
    <m/>
  </r>
  <r>
    <n v="146"/>
    <s v="PTA NORTE "/>
    <s v="020909"/>
    <x v="0"/>
    <n v="9"/>
    <n v="9"/>
    <s v="ESTRELLA NORTE"/>
    <m/>
    <x v="0"/>
    <n v="80"/>
    <m/>
    <x v="1"/>
    <x v="1"/>
    <n v="1135000"/>
    <n v="185"/>
    <d v="2012-10-30T00:00:00"/>
    <x v="3"/>
    <x v="0"/>
    <s v="NO LIBERADO"/>
    <s v="BANCOMER"/>
    <m/>
    <n v="567500"/>
    <n v="448325"/>
    <n v="119175"/>
    <n v="0"/>
    <n v="448325"/>
    <s v="80%"/>
    <n v="0.19999999999999996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7"/>
    <s v="PTA NORTE "/>
    <s v="020910"/>
    <x v="0"/>
    <n v="9"/>
    <n v="10"/>
    <s v="ESTRELLA NORTE"/>
    <m/>
    <x v="0"/>
    <n v="80"/>
    <m/>
    <x v="0"/>
    <x v="1"/>
    <n v="1126000"/>
    <n v="186"/>
    <d v="2012-10-30T00:00:00"/>
    <x v="3"/>
    <x v="0"/>
    <s v="NO LIBERADO"/>
    <s v="BANCOMER"/>
    <m/>
    <n v="563000"/>
    <n v="444770"/>
    <n v="118230"/>
    <n v="0"/>
    <n v="444770"/>
    <s v="80%"/>
    <n v="0.19999999999999996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8"/>
    <s v="PTA NORTE "/>
    <s v="020911"/>
    <x v="0"/>
    <n v="9"/>
    <n v="11"/>
    <s v="ESTRELLA NORTE"/>
    <m/>
    <x v="0"/>
    <n v="80"/>
    <m/>
    <x v="0"/>
    <x v="1"/>
    <n v="1126000"/>
    <n v="187"/>
    <d v="2012-10-30T00:00:00"/>
    <x v="3"/>
    <x v="0"/>
    <s v="NO LIBERADO"/>
    <s v="BANCOMER"/>
    <m/>
    <n v="563000"/>
    <n v="444770"/>
    <n v="118230"/>
    <n v="0"/>
    <n v="444770"/>
    <s v="80%"/>
    <n v="0.19999999999999996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9"/>
    <s v="PTA NORTE "/>
    <s v="020912"/>
    <x v="0"/>
    <n v="9"/>
    <n v="12"/>
    <s v="ESTRELLA NORTE"/>
    <m/>
    <x v="0"/>
    <n v="80"/>
    <m/>
    <x v="1"/>
    <x v="1"/>
    <n v="1135000"/>
    <n v="188"/>
    <d v="2012-10-30T00:00:00"/>
    <x v="3"/>
    <x v="0"/>
    <s v="NO LIBERADO"/>
    <s v="BANCOMER"/>
    <m/>
    <n v="567500"/>
    <n v="448325"/>
    <n v="119175"/>
    <n v="0"/>
    <n v="448325"/>
    <s v="80%"/>
    <n v="0.19999999999999996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0"/>
    <s v="PTA NORTE "/>
    <s v="020913"/>
    <x v="0"/>
    <n v="9"/>
    <n v="13"/>
    <s v="ESTRELLA NORTE"/>
    <m/>
    <x v="3"/>
    <n v="80"/>
    <m/>
    <x v="0"/>
    <x v="2"/>
    <n v="1126000"/>
    <n v="189"/>
    <d v="2012-08-15T00:00:00"/>
    <x v="4"/>
    <x v="5"/>
    <s v="LIBERADO"/>
    <s v="SANTANDER"/>
    <d v="2012-06-01T00:00:00"/>
    <n v="563000"/>
    <n v="444770"/>
    <n v="0"/>
    <n v="444770"/>
    <n v="0"/>
    <s v="80%"/>
    <n v="0.19999999999999996"/>
    <d v="2012-06-23T00:00:00"/>
    <d v="2012-06-23T00:00:00"/>
    <d v="2012-06-23T00:00:00"/>
    <d v="2012-05-01T00:00:00"/>
    <s v="MAYOR A 2 MESES"/>
    <s v="ALBERTO ARIAS GARCIA"/>
    <m/>
    <m/>
    <m/>
    <m/>
    <m/>
    <m/>
    <n v="654654"/>
    <n v="651"/>
    <n v="32132"/>
    <s v="SEM 18"/>
    <s v="MAY"/>
    <n v="44000"/>
    <s v="ENTRE 35 Y 45 MIL"/>
    <s v="VENDEDOR"/>
    <s v="APARTADO"/>
    <s v="IPEJAL"/>
    <s v="SNM"/>
    <d v="2012-05-01T00:00:00"/>
    <s v="DICTAMINACIÓN"/>
    <d v="2012-05-05T00:00:00"/>
    <d v="2012-08-20T00:00:00"/>
    <d v="2012-07-15T00:00:00"/>
    <m/>
    <m/>
    <m/>
    <m/>
    <n v="130"/>
    <m/>
    <s v="PAGADA"/>
    <s v="PAGADA"/>
    <s v="PENDIENTE"/>
    <n v="0.01"/>
    <n v="3753.3333333333335"/>
    <n v="3753.3333333333335"/>
    <n v="3753.3333333333335"/>
    <d v="2012-05-15T00:00:00"/>
    <d v="2012-07-30T00:00:00"/>
    <m/>
    <m/>
    <s v="2DA-MAY-2012"/>
    <s v="2DA-JUL-2012"/>
    <s v="ND"/>
    <s v="ND"/>
    <s v="SEM 18"/>
    <s v="MAY"/>
    <s v="NA"/>
    <s v=""/>
    <s v="NA"/>
    <s v=""/>
    <s v="2DA-AGO"/>
    <s v="MAYOR A 2 MESES"/>
    <s v="NA"/>
    <s v="DE 36 A 45 DIAS"/>
    <s v="DE 36 A 45 DIAS"/>
    <s v="DE 36 A 45 DIAS"/>
    <n v="5000"/>
    <n v="20000"/>
    <n v="10000"/>
    <m/>
    <m/>
    <m/>
    <m/>
    <m/>
    <m/>
    <m/>
    <m/>
    <s v="PAGADO"/>
    <s v="PAGADO"/>
    <m/>
    <m/>
    <m/>
    <m/>
    <m/>
    <m/>
    <m/>
    <m/>
    <n v="0"/>
    <n v="30000"/>
    <n v="0"/>
    <d v="2012-05-16T00:00:00"/>
    <d v="2012-05-31T00:00:00"/>
    <m/>
    <m/>
    <m/>
    <m/>
    <m/>
  </r>
  <r>
    <n v="151"/>
    <s v="PTA NORTE "/>
    <s v="020914"/>
    <x v="0"/>
    <n v="9"/>
    <n v="14"/>
    <s v="ESTRELLA NORTE"/>
    <m/>
    <x v="3"/>
    <n v="80"/>
    <m/>
    <x v="0"/>
    <x v="2"/>
    <n v="1126000"/>
    <n v="190"/>
    <d v="2012-08-15T00:00:00"/>
    <x v="4"/>
    <x v="5"/>
    <s v="LIBERADO"/>
    <s v="SANTANDER"/>
    <d v="2012-06-01T00:00:00"/>
    <n v="563000"/>
    <n v="444770"/>
    <n v="0"/>
    <n v="444770"/>
    <n v="0"/>
    <s v="80%"/>
    <n v="0.19999999999999996"/>
    <d v="2012-06-17T00:00:00"/>
    <d v="2012-06-17T00:00:00"/>
    <d v="2012-06-17T00:00:00"/>
    <d v="2012-06-14T00:00:00"/>
    <s v="7MA SEM"/>
    <s v="ESTEFANIA DEL TORO ENRIQUEZ"/>
    <m/>
    <m/>
    <m/>
    <m/>
    <m/>
    <m/>
    <n v="654654"/>
    <n v="361"/>
    <n v="1321"/>
    <s v="SEM 24"/>
    <s v="JUN"/>
    <n v="17000"/>
    <s v="ENTRE 12 Y 18 MIL"/>
    <s v="VENDEDOR"/>
    <s v="APARTADO"/>
    <s v="INFONAVIT"/>
    <s v="SNM"/>
    <d v="2012-06-30T00:00:00"/>
    <s v="POR FIRMAR"/>
    <d v="2012-06-30T00:00:00"/>
    <d v="2012-08-20T00:00:00"/>
    <d v="2012-07-10T00:00:00"/>
    <m/>
    <m/>
    <m/>
    <m/>
    <n v="130"/>
    <m/>
    <s v="PAGADA"/>
    <s v="PAGADA"/>
    <s v="PENDIENTE"/>
    <n v="0.01"/>
    <n v="3753.3333333333335"/>
    <n v="3753.3333333333335"/>
    <n v="3753.3333333333335"/>
    <d v="2012-07-15T00:00:00"/>
    <d v="2012-07-15T00:00:00"/>
    <m/>
    <m/>
    <s v="2DA-JUL-2012"/>
    <s v="2DA-JUL-2012"/>
    <s v="ND"/>
    <s v="ND"/>
    <s v="SEM 26"/>
    <s v="JUN"/>
    <s v="NA"/>
    <s v=""/>
    <s v="NA"/>
    <s v=""/>
    <s v="2DA-AGO"/>
    <s v="5TA SEM"/>
    <s v="NA"/>
    <s v="DE 36 A 45 DIAS"/>
    <s v="DE 36 A 45 DIAS"/>
    <s v="DE 36 A 45 DIAS"/>
    <n v="30000"/>
    <n v="15000"/>
    <n v="12000"/>
    <m/>
    <m/>
    <m/>
    <m/>
    <m/>
    <m/>
    <m/>
    <m/>
    <s v="PAGADO"/>
    <s v="VIGENTE"/>
    <m/>
    <m/>
    <m/>
    <m/>
    <m/>
    <m/>
    <m/>
    <m/>
    <n v="12000"/>
    <n v="15000"/>
    <n v="0"/>
    <d v="2012-07-15T00:00:00"/>
    <d v="2012-07-30T00:00:00"/>
    <m/>
    <m/>
    <m/>
    <m/>
    <m/>
  </r>
  <r>
    <n v="152"/>
    <s v="PTA NORTE "/>
    <s v="020915"/>
    <x v="0"/>
    <n v="9"/>
    <n v="15"/>
    <s v="ESTRELLA NORTE"/>
    <m/>
    <x v="3"/>
    <n v="81.311000000000007"/>
    <m/>
    <x v="1"/>
    <x v="2"/>
    <n v="1139981.8"/>
    <n v="191"/>
    <d v="2012-08-15T00:00:00"/>
    <x v="4"/>
    <x v="5"/>
    <s v="LIBERADO"/>
    <s v="SANTANDER"/>
    <d v="2012-06-01T00:00:00"/>
    <n v="569990.9"/>
    <n v="450292.81100000005"/>
    <n v="0"/>
    <n v="450292.81100000005"/>
    <n v="0"/>
    <s v="80%"/>
    <n v="0.19999999999999996"/>
    <d v="2012-06-12T00:00:00"/>
    <d v="2012-06-12T00:00:00"/>
    <d v="2012-06-12T00:00:00"/>
    <d v="2012-05-20T00:00:00"/>
    <s v="MAYOR A 2 MESES"/>
    <s v="ANDREA OLEA DE ANDA"/>
    <m/>
    <m/>
    <m/>
    <m/>
    <m/>
    <m/>
    <n v="6588464"/>
    <n v="321"/>
    <n v="312"/>
    <s v="SEM 21"/>
    <s v="MAY"/>
    <n v="23000"/>
    <s v="ENTRE 18 Y 25 MIL"/>
    <s v="VENDEDOR"/>
    <s v="APARTADO"/>
    <s v="ALIA2"/>
    <s v="SNM"/>
    <d v="2012-05-30T00:00:00"/>
    <s v="POR FIRMAR"/>
    <d v="2012-06-01T00:00:00"/>
    <d v="2012-08-20T00:00:00"/>
    <d v="2012-06-15T00:00:00"/>
    <m/>
    <m/>
    <m/>
    <m/>
    <n v="130"/>
    <m/>
    <s v="PAGADA"/>
    <s v="PAGADA"/>
    <s v="PENDIENTE"/>
    <n v="0.01"/>
    <n v="3799.9393333333337"/>
    <n v="3799.9393333333337"/>
    <n v="3799.9393333333337"/>
    <d v="2012-06-15T00:00:00"/>
    <d v="2012-06-30T00:00:00"/>
    <m/>
    <m/>
    <s v="2DA-JUN-2012"/>
    <s v="2DA-JUN-2012"/>
    <s v="ND"/>
    <s v="ND"/>
    <s v="SEM 22"/>
    <s v="MAY"/>
    <s v="NA"/>
    <s v=""/>
    <s v="NA"/>
    <s v=""/>
    <s v="2DA-AGO"/>
    <s v="MAYOR A 2 MESES"/>
    <s v="NA"/>
    <s v="MAYOR A 45 DIAS"/>
    <s v="MAYOR A 45 DIAS"/>
    <s v="MAYOR A 45 DIAS"/>
    <n v="50000"/>
    <n v="10000"/>
    <n v="17000"/>
    <m/>
    <m/>
    <m/>
    <m/>
    <m/>
    <m/>
    <m/>
    <m/>
    <s v="VENCIDO"/>
    <s v="VENCIDO"/>
    <m/>
    <m/>
    <m/>
    <m/>
    <m/>
    <m/>
    <m/>
    <m/>
    <n v="0"/>
    <n v="0"/>
    <n v="27000"/>
    <d v="2012-06-14T00:00:00"/>
    <d v="2012-06-29T00:00:00"/>
    <m/>
    <m/>
    <m/>
    <m/>
    <m/>
  </r>
  <r>
    <n v="153"/>
    <s v="PTA NORTE "/>
    <s v="021001"/>
    <x v="0"/>
    <n v="10"/>
    <n v="1"/>
    <s v="ESTRELLA SUR"/>
    <m/>
    <x v="0"/>
    <n v="81.188000000000002"/>
    <m/>
    <x v="1"/>
    <x v="1"/>
    <n v="1139514.3999999999"/>
    <n v="192"/>
    <d v="2012-10-30T00:00:00"/>
    <x v="3"/>
    <x v="0"/>
    <s v="NO LIBERADO"/>
    <s v="BANCOMER"/>
    <m/>
    <n v="569757.19999999995"/>
    <n v="28487.86"/>
    <n v="541269.34"/>
    <n v="0"/>
    <n v="28487.86"/>
    <s v="5%"/>
    <n v="0.95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98.3813333333328"/>
    <n v="3798.3813333333328"/>
    <n v="3798.3813333333328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4"/>
    <s v="PTA NORTE "/>
    <s v="021002"/>
    <x v="0"/>
    <n v="10"/>
    <n v="2"/>
    <s v="ESTRELLA SUR"/>
    <m/>
    <x v="0"/>
    <n v="80"/>
    <m/>
    <x v="0"/>
    <x v="1"/>
    <n v="1126000"/>
    <n v="193"/>
    <d v="2012-10-30T00:00:00"/>
    <x v="3"/>
    <x v="0"/>
    <s v="NO LIBERADO"/>
    <s v="BANCOMER"/>
    <m/>
    <n v="563000"/>
    <n v="28150"/>
    <n v="534850"/>
    <n v="0"/>
    <n v="28150"/>
    <s v="5%"/>
    <n v="0.95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5"/>
    <s v="PTA NORTE "/>
    <s v="021003"/>
    <x v="0"/>
    <n v="10"/>
    <n v="3"/>
    <s v="ESTRELLA SUR"/>
    <m/>
    <x v="0"/>
    <n v="80"/>
    <m/>
    <x v="0"/>
    <x v="1"/>
    <n v="1126000"/>
    <n v="194"/>
    <d v="2012-10-30T00:00:00"/>
    <x v="3"/>
    <x v="0"/>
    <s v="NO LIBERADO"/>
    <s v="BANCOMER"/>
    <m/>
    <n v="563000"/>
    <n v="28150"/>
    <n v="534850"/>
    <n v="0"/>
    <n v="28150"/>
    <s v="5%"/>
    <n v="0.95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6"/>
    <s v="PTA NORTE "/>
    <s v="021004"/>
    <x v="0"/>
    <n v="10"/>
    <n v="4"/>
    <s v="ESTRELLA SUR"/>
    <m/>
    <x v="0"/>
    <n v="80"/>
    <m/>
    <x v="1"/>
    <x v="1"/>
    <n v="1135000"/>
    <n v="195"/>
    <d v="2012-10-30T00:00:00"/>
    <x v="3"/>
    <x v="0"/>
    <s v="NO LIBERADO"/>
    <s v="BANCOMER"/>
    <m/>
    <n v="567500"/>
    <n v="28375"/>
    <n v="539125"/>
    <n v="0"/>
    <n v="28375"/>
    <s v="5%"/>
    <n v="0.95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7"/>
    <s v="PTA NORTE "/>
    <s v="021005"/>
    <x v="0"/>
    <n v="10"/>
    <n v="5"/>
    <s v="ESTRELLA SUR"/>
    <m/>
    <x v="0"/>
    <n v="80"/>
    <m/>
    <x v="0"/>
    <x v="1"/>
    <n v="1126000"/>
    <n v="196"/>
    <d v="2012-10-30T00:00:00"/>
    <x v="3"/>
    <x v="0"/>
    <s v="NO LIBERADO"/>
    <s v="BANCOMER"/>
    <m/>
    <n v="563000"/>
    <n v="28150"/>
    <n v="534850"/>
    <n v="0"/>
    <n v="28150"/>
    <s v="5%"/>
    <n v="0.95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8"/>
    <s v="PTA NORTE "/>
    <s v="021006"/>
    <x v="0"/>
    <n v="10"/>
    <n v="6"/>
    <s v="ESTRELLA SUR"/>
    <m/>
    <x v="0"/>
    <n v="80"/>
    <m/>
    <x v="0"/>
    <x v="1"/>
    <n v="1126000"/>
    <n v="197"/>
    <d v="2012-10-30T00:00:00"/>
    <x v="3"/>
    <x v="0"/>
    <s v="NO LIBERADO"/>
    <s v="BANCOMER"/>
    <m/>
    <n v="563000"/>
    <n v="28150"/>
    <n v="534850"/>
    <n v="0"/>
    <n v="28150"/>
    <s v="5%"/>
    <n v="0.95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9"/>
    <s v="PTA NORTE "/>
    <s v="021007"/>
    <x v="0"/>
    <n v="10"/>
    <n v="7"/>
    <s v="TARRAGONA"/>
    <m/>
    <x v="0"/>
    <n v="111.129"/>
    <m/>
    <x v="1"/>
    <x v="1"/>
    <n v="1253290.2"/>
    <n v="198"/>
    <d v="2012-10-30T00:00:00"/>
    <x v="3"/>
    <x v="0"/>
    <s v="NO LIBERADO"/>
    <s v="BANCOMER"/>
    <m/>
    <n v="626645.1"/>
    <n v="31332.255000000001"/>
    <n v="595312.84499999997"/>
    <n v="0"/>
    <n v="31332.255000000001"/>
    <s v="5%"/>
    <n v="0.95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4177.634"/>
    <n v="4177.634"/>
    <n v="4177.634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0"/>
    <s v="PTA NORTE "/>
    <s v="021008"/>
    <x v="0"/>
    <n v="10"/>
    <n v="8"/>
    <s v="TARRAGONA"/>
    <m/>
    <x v="0"/>
    <n v="86.584999999999994"/>
    <m/>
    <x v="0"/>
    <x v="1"/>
    <n v="1151023"/>
    <n v="199"/>
    <d v="2012-10-30T00:00:00"/>
    <x v="3"/>
    <x v="0"/>
    <s v="NO LIBERADO"/>
    <s v="BANCOMER"/>
    <m/>
    <n v="575511.5"/>
    <n v="28775.575000000001"/>
    <n v="546735.92500000005"/>
    <n v="0"/>
    <n v="28775.575000000001"/>
    <s v="5%"/>
    <n v="0.95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836.7433333333333"/>
    <n v="3836.7433333333333"/>
    <n v="3836.7433333333333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1"/>
    <s v="PTA NORTE "/>
    <s v="021009"/>
    <x v="0"/>
    <n v="10"/>
    <n v="9"/>
    <s v="TARRAGONA"/>
    <m/>
    <x v="0"/>
    <n v="80.855000000000004"/>
    <m/>
    <x v="0"/>
    <x v="1"/>
    <n v="1129249"/>
    <n v="200"/>
    <d v="2012-10-30T00:00:00"/>
    <x v="3"/>
    <x v="0"/>
    <s v="NO LIBERADO"/>
    <s v="BANCOMER"/>
    <m/>
    <n v="564624.5"/>
    <n v="28231.225000000002"/>
    <n v="536393.27500000002"/>
    <n v="0"/>
    <n v="28231.225000000002"/>
    <s v="5%"/>
    <n v="0.95"/>
    <d v="2012-06-23T00:00:00"/>
    <d v="2012-06-23T00:00:00"/>
    <d v="2012-06-2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64.1633333333334"/>
    <n v="3764.1633333333334"/>
    <n v="3764.1633333333334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2"/>
    <s v="PTA NORTE "/>
    <s v="021010"/>
    <x v="0"/>
    <n v="10"/>
    <n v="10"/>
    <s v="ESTRELLA SUR"/>
    <m/>
    <x v="0"/>
    <n v="80.004999999999995"/>
    <m/>
    <x v="0"/>
    <x v="1"/>
    <n v="1126019"/>
    <n v="201"/>
    <d v="2012-10-30T00:00:00"/>
    <x v="3"/>
    <x v="0"/>
    <s v="NO LIBERADO"/>
    <s v="BANCOMER"/>
    <m/>
    <n v="563009.5"/>
    <n v="28150.475000000002"/>
    <n v="534859.02500000002"/>
    <n v="0"/>
    <n v="28150.475000000002"/>
    <s v="5%"/>
    <n v="0.95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96666666667"/>
    <n v="3753.396666666667"/>
    <n v="3753.396666666667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3"/>
    <s v="PTA NORTE "/>
    <s v="021011"/>
    <x v="0"/>
    <n v="10"/>
    <n v="11"/>
    <s v="ESTRELLA SUR"/>
    <m/>
    <x v="0"/>
    <n v="81.004999999999995"/>
    <m/>
    <x v="1"/>
    <x v="1"/>
    <n v="1138819"/>
    <n v="202"/>
    <d v="2012-10-30T00:00:00"/>
    <x v="3"/>
    <x v="0"/>
    <s v="NO LIBERADO"/>
    <s v="BANCOMER"/>
    <m/>
    <n v="569409.5"/>
    <n v="28470.475000000002"/>
    <n v="540939.02500000002"/>
    <n v="0"/>
    <n v="28470.475000000002"/>
    <s v="5%"/>
    <n v="0.95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96.0633333333335"/>
    <n v="3796.0633333333335"/>
    <n v="3796.06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4"/>
    <s v="PTA NORTE "/>
    <s v="030101"/>
    <x v="1"/>
    <n v="1"/>
    <n v="1"/>
    <s v="TARRAGONA"/>
    <m/>
    <x v="3"/>
    <n v="287.90100000000001"/>
    <m/>
    <x v="1"/>
    <x v="2"/>
    <n v="1925023.8"/>
    <n v="203"/>
    <d v="2012-08-15T00:00:00"/>
    <x v="4"/>
    <x v="5"/>
    <s v="LIBERADO"/>
    <s v="SANTANDER"/>
    <d v="2012-06-01T00:00:00"/>
    <n v="962511.9"/>
    <n v="48125.595000000001"/>
    <n v="0"/>
    <n v="48125.595000000001"/>
    <n v="0"/>
    <s v="5%"/>
    <n v="0.95"/>
    <d v="2012-07-28T00:00:00"/>
    <d v="2012-07-28T00:00:00"/>
    <d v="2012-07-28T00:00:00"/>
    <d v="2012-05-14T00:00:00"/>
    <s v="MAYOR A 2 MESES"/>
    <s v="GABRIELA ARAGON ORTIZ"/>
    <m/>
    <m/>
    <m/>
    <m/>
    <m/>
    <m/>
    <n v="68846"/>
    <n v="3213"/>
    <n v="321"/>
    <s v="SEM 20"/>
    <s v="MAY"/>
    <n v="12000"/>
    <s v="HASTA 12 MIL"/>
    <s v="BASE DE DATOS"/>
    <s v="APARTADO"/>
    <s v="COFINAVIT"/>
    <s v="SNM"/>
    <d v="2012-05-30T00:00:00"/>
    <s v="FIRMADO"/>
    <d v="2012-06-10T00:00:00"/>
    <d v="2012-08-20T00:00:00"/>
    <d v="2012-06-20T00:00:00"/>
    <m/>
    <d v="2012-06-27T00:00:00"/>
    <m/>
    <m/>
    <n v="86"/>
    <m/>
    <s v="PAGADA"/>
    <s v="PAGADA"/>
    <s v="PAGADA"/>
    <n v="0.01"/>
    <n v="6416.7460000000001"/>
    <n v="6416.7460000000001"/>
    <n v="6416.7460000000001"/>
    <d v="2012-06-17T00:00:00"/>
    <d v="2012-06-30T00:00:00"/>
    <d v="2012-06-30T00:00:00"/>
    <m/>
    <s v="2DA-JUN-2012"/>
    <s v="2DA-JUN-2012"/>
    <s v="2DA-JUN-2012"/>
    <s v="ND"/>
    <s v="SEM 22"/>
    <s v="MAY"/>
    <s v="SEM 26"/>
    <s v="JUN"/>
    <s v="NA"/>
    <s v=""/>
    <s v="2DA-JUN"/>
    <s v="MAYOR A 2 MESES"/>
    <s v="5TA SEM"/>
    <s v="HASTA 5 DIAS"/>
    <s v="HASTA 5 DIAS"/>
    <s v="HASTA 5 DIAS"/>
    <n v="1000"/>
    <n v="20000"/>
    <n v="50000"/>
    <m/>
    <m/>
    <m/>
    <m/>
    <m/>
    <m/>
    <m/>
    <m/>
    <s v="PAGADO"/>
    <s v="PAGADO"/>
    <m/>
    <m/>
    <m/>
    <m/>
    <m/>
    <m/>
    <m/>
    <m/>
    <n v="0"/>
    <n v="70000"/>
    <n v="0"/>
    <d v="2012-06-14T00:00:00"/>
    <d v="2012-06-29T00:00:00"/>
    <m/>
    <m/>
    <m/>
    <m/>
    <m/>
  </r>
  <r>
    <n v="165"/>
    <s v="PTA NORTE "/>
    <s v="030102"/>
    <x v="1"/>
    <n v="1"/>
    <n v="2"/>
    <s v="TARRAGONA"/>
    <m/>
    <x v="3"/>
    <n v="82.712999999999994"/>
    <m/>
    <x v="0"/>
    <x v="2"/>
    <n v="1136309.3999999999"/>
    <n v="204"/>
    <d v="2012-08-15T00:00:00"/>
    <x v="4"/>
    <x v="5"/>
    <s v="LIBERADO"/>
    <s v="SANTANDER"/>
    <d v="2012-06-01T00:00:00"/>
    <n v="568154.69999999995"/>
    <n v="272714.25599999999"/>
    <n v="0"/>
    <n v="272714.25599999999"/>
    <n v="0"/>
    <s v="50%"/>
    <n v="0.5"/>
    <d v="2012-07-23T00:00:00"/>
    <d v="2012-07-23T00:00:00"/>
    <d v="2012-07-23T00:00:00"/>
    <d v="2012-03-30T00:00:00"/>
    <s v="MAYOR A 2 MESES"/>
    <s v="JAVIER DIAZ BECERRA"/>
    <m/>
    <m/>
    <m/>
    <m/>
    <m/>
    <m/>
    <n v="68846"/>
    <n v="21"/>
    <n v="84"/>
    <s v="SEM 13"/>
    <s v="MAR"/>
    <n v="12000"/>
    <s v="HASTA 12 MIL"/>
    <s v="BASE DE DATOS"/>
    <s v="APARTADO"/>
    <s v="COFINAVIT"/>
    <s v="AR"/>
    <d v="2012-04-15T00:00:00"/>
    <s v="POR FIRMAR"/>
    <d v="2012-06-20T00:00:00"/>
    <d v="2012-08-20T00:00:00"/>
    <d v="2012-06-30T00:00:00"/>
    <m/>
    <m/>
    <m/>
    <m/>
    <n v="58"/>
    <m/>
    <s v="PAGADA"/>
    <s v="PAGADA"/>
    <s v="PENDIENTE"/>
    <n v="0.01"/>
    <n v="3787.6979999999999"/>
    <n v="3787.6979999999999"/>
    <n v="3787.6979999999999"/>
    <d v="2012-06-30T00:00:00"/>
    <d v="2012-07-15T00:00:00"/>
    <m/>
    <m/>
    <s v="2DA-JUN-2012"/>
    <s v="2DA-JUL-2012"/>
    <s v="ND"/>
    <s v="ND"/>
    <s v="SEM 16"/>
    <s v="ABR"/>
    <s v="NA"/>
    <s v=""/>
    <s v="NA"/>
    <s v=""/>
    <s v="2DA-AGO"/>
    <s v="MAYOR A 2 MESES"/>
    <s v="NA"/>
    <s v="DE 6 A 10 DIAS"/>
    <s v="DE 6 A 10 DIAS"/>
    <s v="DE 6 A 10 DIAS"/>
    <n v="3000"/>
    <n v="12000"/>
    <n v="500000"/>
    <m/>
    <m/>
    <m/>
    <m/>
    <m/>
    <m/>
    <m/>
    <m/>
    <s v="PAGADO"/>
    <s v="PAGADO"/>
    <m/>
    <m/>
    <m/>
    <m/>
    <m/>
    <m/>
    <m/>
    <m/>
    <n v="0"/>
    <n v="512000"/>
    <n v="0"/>
    <d v="2012-04-30T00:00:00"/>
    <d v="2012-05-15T00:00:00"/>
    <m/>
    <m/>
    <m/>
    <m/>
    <m/>
  </r>
  <r>
    <n v="166"/>
    <s v="PTA NORTE "/>
    <s v="030103"/>
    <x v="1"/>
    <n v="1"/>
    <n v="3"/>
    <s v="TARRAGONA"/>
    <m/>
    <x v="3"/>
    <n v="87.340999999999994"/>
    <m/>
    <x v="0"/>
    <x v="2"/>
    <n v="1153895.8"/>
    <n v="205"/>
    <d v="2012-08-15T00:00:00"/>
    <x v="4"/>
    <x v="6"/>
    <s v="LIBERADO"/>
    <s v="SANTANDER"/>
    <d v="2012-06-01T00:00:00"/>
    <n v="576947.9"/>
    <n v="276934.99200000003"/>
    <n v="0"/>
    <n v="276934.99200000003"/>
    <n v="0"/>
    <s v="50%"/>
    <n v="0.5"/>
    <d v="2012-07-18T00:00:00"/>
    <d v="2012-07-18T00:00:00"/>
    <d v="2012-07-18T00:00:00"/>
    <d v="2012-05-01T00:00:00"/>
    <s v="MAYOR A 2 MESES"/>
    <s v="ANDREA CARMONA SMITH"/>
    <m/>
    <m/>
    <m/>
    <m/>
    <m/>
    <m/>
    <n v="654654"/>
    <n v="5814"/>
    <n v="321"/>
    <s v="SEM 18"/>
    <s v="MAY"/>
    <n v="8500"/>
    <s v="HASTA 12 MIL"/>
    <s v="EXPO"/>
    <s v="APARTADO"/>
    <s v="COFINAVIT"/>
    <s v="AR"/>
    <d v="2012-05-15T00:00:00"/>
    <s v="AUTORIZADO"/>
    <d v="2012-06-22T00:00:00"/>
    <d v="2012-08-20T00:00:00"/>
    <d v="2012-06-30T00:00:00"/>
    <m/>
    <m/>
    <m/>
    <m/>
    <n v="58"/>
    <m/>
    <s v="PAGADA"/>
    <s v="PENDIENTE"/>
    <s v="PENDIENTE"/>
    <n v="0.01"/>
    <n v="3846.3193333333334"/>
    <n v="3846.3193333333334"/>
    <n v="3846.3193333333334"/>
    <d v="2012-06-30T00:00:00"/>
    <m/>
    <m/>
    <m/>
    <s v="2DA-JUN-2012"/>
    <s v="ND"/>
    <s v="ND"/>
    <s v="ND"/>
    <s v="SEM 20"/>
    <s v="MAY"/>
    <s v="NA"/>
    <s v=""/>
    <s v="NA"/>
    <s v=""/>
    <s v="2DA-AGO"/>
    <s v="MAYOR A 2 MESES"/>
    <s v="NA"/>
    <s v="DE 11 A 15 DIAS"/>
    <s v="DE 11 A 15 DIAS"/>
    <s v="DE 11 A 15 DIAS"/>
    <n v="5000"/>
    <n v="17000"/>
    <n v="120000"/>
    <n v="10000"/>
    <m/>
    <m/>
    <m/>
    <m/>
    <m/>
    <m/>
    <m/>
    <s v="PAGADO"/>
    <s v="PAGADO"/>
    <s v="PAGADO"/>
    <m/>
    <m/>
    <m/>
    <m/>
    <m/>
    <m/>
    <m/>
    <n v="0"/>
    <n v="147000"/>
    <n v="0"/>
    <d v="2012-05-30T00:00:00"/>
    <d v="2012-06-14T00:00:00"/>
    <d v="2012-06-29T00:00:00"/>
    <m/>
    <m/>
    <m/>
    <m/>
  </r>
  <r>
    <n v="167"/>
    <s v="PTA NORTE "/>
    <s v="030104"/>
    <x v="1"/>
    <n v="1"/>
    <n v="4"/>
    <s v="TARRAGONA"/>
    <m/>
    <x v="1"/>
    <n v="97.638000000000005"/>
    <m/>
    <x v="1"/>
    <x v="2"/>
    <n v="1202024.3999999999"/>
    <n v="206"/>
    <d v="2012-08-15T00:00:00"/>
    <x v="4"/>
    <x v="6"/>
    <s v="NO LIBERADO"/>
    <s v="SANTANDER"/>
    <m/>
    <n v="601012.19999999995"/>
    <n v="288485.85599999997"/>
    <n v="312526.34399999998"/>
    <n v="0"/>
    <n v="288485.85599999997"/>
    <s v="50%"/>
    <n v="0.5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4006.7479999999996"/>
    <n v="4006.7479999999996"/>
    <n v="4006.7479999999996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8"/>
    <s v="PTA NORTE "/>
    <s v="030105"/>
    <x v="1"/>
    <n v="1"/>
    <n v="5"/>
    <s v="TARRAGONA"/>
    <m/>
    <x v="1"/>
    <n v="105.361"/>
    <m/>
    <x v="0"/>
    <x v="2"/>
    <n v="1222371.8"/>
    <n v="207"/>
    <d v="2012-08-15T00:00:00"/>
    <x v="4"/>
    <x v="4"/>
    <s v="NO LIBERADO"/>
    <s v="SANTANDER"/>
    <m/>
    <n v="611185.9"/>
    <n v="293369.23200000002"/>
    <n v="317816.66800000001"/>
    <n v="0"/>
    <n v="293369.23200000002"/>
    <s v="50%"/>
    <n v="0.5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4074.5726666666669"/>
    <n v="4074.5726666666669"/>
    <n v="4074.5726666666669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9"/>
    <s v="PTA NORTE "/>
    <s v="030201"/>
    <x v="1"/>
    <n v="2"/>
    <n v="1"/>
    <s v="ESTRELLA BLANCA"/>
    <m/>
    <x v="1"/>
    <n v="150.715"/>
    <m/>
    <x v="1"/>
    <x v="2"/>
    <n v="1403717"/>
    <n v="208"/>
    <d v="2012-08-15T00:00:00"/>
    <x v="4"/>
    <x v="4"/>
    <s v="NO LIBERADO"/>
    <s v="SANTANDER"/>
    <m/>
    <n v="701858.5"/>
    <n v="336892.08"/>
    <n v="364966.42"/>
    <n v="0"/>
    <n v="336892.08"/>
    <s v="50%"/>
    <n v="0.5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4679.0566666666664"/>
    <n v="4679.0566666666664"/>
    <n v="4679.0566666666664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0"/>
    <s v="PTA NORTE "/>
    <s v="030202"/>
    <x v="1"/>
    <n v="2"/>
    <n v="2"/>
    <s v="ESTRELLA BLANCA"/>
    <m/>
    <x v="0"/>
    <n v="84.649000000000001"/>
    <m/>
    <x v="0"/>
    <x v="2"/>
    <n v="1143666.2"/>
    <n v="209"/>
    <d v="2012-08-15T00:00:00"/>
    <x v="4"/>
    <x v="7"/>
    <s v="NO LIBERADO"/>
    <s v="SANTANDER"/>
    <m/>
    <n v="571833.1"/>
    <n v="274479.88799999998"/>
    <n v="297353.212"/>
    <n v="0"/>
    <n v="274479.88799999998"/>
    <s v="50%"/>
    <n v="0.5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812.2206666666666"/>
    <n v="3812.2206666666666"/>
    <n v="3812.2206666666666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1"/>
    <s v="PTA NORTE "/>
    <s v="030203"/>
    <x v="1"/>
    <n v="2"/>
    <n v="3"/>
    <s v="ESTRELLA BLANCA"/>
    <m/>
    <x v="0"/>
    <n v="81.147000000000006"/>
    <m/>
    <x v="0"/>
    <x v="2"/>
    <n v="1130358.6000000001"/>
    <n v="210"/>
    <d v="2012-08-15T00:00:00"/>
    <x v="4"/>
    <x v="7"/>
    <s v="NO LIBERADO"/>
    <s v="SANTANDER"/>
    <m/>
    <n v="565179.30000000005"/>
    <n v="271286.06400000001"/>
    <n v="293893.23600000003"/>
    <n v="0"/>
    <n v="271286.06400000001"/>
    <s v="50%"/>
    <n v="0.5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67.8620000000005"/>
    <n v="3767.8620000000005"/>
    <n v="3767.862000000000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2"/>
    <s v="PTA NORTE "/>
    <s v="030204"/>
    <x v="1"/>
    <n v="2"/>
    <n v="4"/>
    <s v="ESTRELLA BLANCA"/>
    <m/>
    <x v="0"/>
    <n v="112.72499999999999"/>
    <m/>
    <x v="1"/>
    <x v="2"/>
    <n v="1259355"/>
    <n v="211"/>
    <d v="2012-08-15T00:00:00"/>
    <x v="4"/>
    <x v="7"/>
    <s v="NO LIBERADO"/>
    <s v="SANTANDER"/>
    <m/>
    <n v="629677.5"/>
    <n v="302245.2"/>
    <n v="327432.3"/>
    <n v="0"/>
    <n v="302245.2"/>
    <s v="50%"/>
    <n v="0.5"/>
    <d v="2012-06-23T00:00:00"/>
    <d v="2012-06-23T00:00:00"/>
    <d v="2012-06-2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4197.8500000000004"/>
    <n v="4197.8500000000004"/>
    <n v="4197.8500000000004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3"/>
    <s v="PTA NORTE "/>
    <s v="030205"/>
    <x v="1"/>
    <n v="2"/>
    <n v="5"/>
    <s v="ESTRELLA BLANCA"/>
    <m/>
    <x v="0"/>
    <n v="116.286"/>
    <m/>
    <x v="0"/>
    <x v="2"/>
    <n v="1263886.8"/>
    <n v="212"/>
    <d v="2012-08-15T00:00:00"/>
    <x v="4"/>
    <x v="7"/>
    <s v="NO LIBERADO"/>
    <s v="SANTANDER"/>
    <m/>
    <n v="631943.4"/>
    <n v="303332.83199999999"/>
    <n v="328610.56800000003"/>
    <n v="0"/>
    <n v="303332.83199999999"/>
    <s v="50%"/>
    <n v="0.5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4212.9560000000001"/>
    <n v="4212.9560000000001"/>
    <n v="4212.9560000000001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4"/>
    <s v="PTA NORTE "/>
    <s v="030206"/>
    <x v="1"/>
    <n v="2"/>
    <n v="6"/>
    <s v="ESTRELLA BLANCA"/>
    <m/>
    <x v="0"/>
    <n v="80"/>
    <m/>
    <x v="1"/>
    <x v="2"/>
    <n v="1135000"/>
    <n v="213"/>
    <d v="2012-08-15T00:00:00"/>
    <x v="4"/>
    <x v="7"/>
    <s v="NO LIBERADO"/>
    <s v="SANTANDER"/>
    <m/>
    <n v="567500"/>
    <n v="272400"/>
    <n v="295100"/>
    <n v="0"/>
    <n v="272400"/>
    <s v="50%"/>
    <n v="0.5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5"/>
    <s v="PTA NORTE "/>
    <s v="030207"/>
    <x v="1"/>
    <n v="2"/>
    <n v="7"/>
    <s v="ESTRELLA BLANCA"/>
    <m/>
    <x v="0"/>
    <n v="80"/>
    <m/>
    <x v="0"/>
    <x v="2"/>
    <n v="1126000"/>
    <n v="214"/>
    <d v="2012-08-15T00:00:00"/>
    <x v="4"/>
    <x v="7"/>
    <s v="NO LIBERADO"/>
    <s v="SANTANDER"/>
    <m/>
    <n v="563000"/>
    <n v="270240"/>
    <n v="292760"/>
    <n v="0"/>
    <n v="270240"/>
    <s v="50%"/>
    <n v="0.5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6"/>
    <s v="PTA NORTE "/>
    <s v="030208"/>
    <x v="1"/>
    <n v="2"/>
    <n v="8"/>
    <s v="ESTRELLA BLANCA"/>
    <m/>
    <x v="0"/>
    <n v="80"/>
    <m/>
    <x v="0"/>
    <x v="2"/>
    <n v="1126000"/>
    <n v="215"/>
    <d v="2012-08-15T00:00:00"/>
    <x v="4"/>
    <x v="7"/>
    <s v="NO LIBERADO"/>
    <s v="SANTANDER"/>
    <m/>
    <n v="563000"/>
    <n v="270240"/>
    <n v="292760"/>
    <n v="0"/>
    <n v="270240"/>
    <s v="50%"/>
    <n v="0.5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7"/>
    <s v="PTA NORTE "/>
    <s v="030209"/>
    <x v="1"/>
    <n v="2"/>
    <n v="9"/>
    <s v="ESTRELLA BLANCA"/>
    <m/>
    <x v="0"/>
    <n v="80"/>
    <m/>
    <x v="1"/>
    <x v="2"/>
    <n v="1135000"/>
    <n v="216"/>
    <d v="2012-08-15T00:00:00"/>
    <x v="4"/>
    <x v="7"/>
    <s v="NO LIBERADO"/>
    <s v="SANTANDER"/>
    <m/>
    <n v="567500"/>
    <n v="272400"/>
    <n v="295100"/>
    <n v="0"/>
    <n v="272400"/>
    <s v="50%"/>
    <n v="0.5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8"/>
    <s v="PTA NORTE "/>
    <s v="030210"/>
    <x v="1"/>
    <n v="2"/>
    <n v="10"/>
    <s v="ESTRELLA BLANCA"/>
    <m/>
    <x v="0"/>
    <n v="80"/>
    <m/>
    <x v="0"/>
    <x v="2"/>
    <n v="1126000"/>
    <n v="217"/>
    <d v="2012-08-15T00:00:00"/>
    <x v="4"/>
    <x v="7"/>
    <s v="NO LIBERADO"/>
    <s v="SANTANDER"/>
    <m/>
    <n v="563000"/>
    <n v="270240"/>
    <n v="292760"/>
    <n v="0"/>
    <n v="270240"/>
    <s v="50%"/>
    <n v="0.5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9"/>
    <s v="PTA NORTE "/>
    <s v="030301"/>
    <x v="1"/>
    <n v="3"/>
    <n v="1"/>
    <s v="ESTRELLA DE LA PRIMAVERA"/>
    <m/>
    <x v="0"/>
    <n v="80"/>
    <m/>
    <x v="1"/>
    <x v="2"/>
    <n v="1135000"/>
    <n v="218"/>
    <d v="2012-09-15T00:00:00"/>
    <x v="2"/>
    <x v="8"/>
    <s v="NO LIBERADO"/>
    <s v="SANTANDER"/>
    <m/>
    <n v="567500"/>
    <n v="272400"/>
    <n v="295100"/>
    <n v="0"/>
    <n v="272400"/>
    <s v="50%"/>
    <n v="0.5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0"/>
    <s v="PTA NORTE "/>
    <s v="030302"/>
    <x v="1"/>
    <n v="3"/>
    <n v="2"/>
    <s v="ESTRELLA DE LA PRIMAVERA"/>
    <m/>
    <x v="0"/>
    <n v="80"/>
    <m/>
    <x v="0"/>
    <x v="2"/>
    <n v="1126000"/>
    <n v="219"/>
    <d v="2012-09-15T00:00:00"/>
    <x v="2"/>
    <x v="8"/>
    <s v="NO LIBERADO"/>
    <s v="SANTANDER"/>
    <m/>
    <n v="563000"/>
    <n v="270240"/>
    <n v="292760"/>
    <n v="0"/>
    <n v="270240"/>
    <s v="50%"/>
    <n v="0.5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1"/>
    <s v="PTA NORTE "/>
    <s v="030303"/>
    <x v="1"/>
    <n v="3"/>
    <n v="3"/>
    <s v="ESTRELLA DE LA PRIMAVERA"/>
    <m/>
    <x v="0"/>
    <n v="80"/>
    <m/>
    <x v="0"/>
    <x v="2"/>
    <n v="1126000"/>
    <n v="220"/>
    <d v="2012-09-15T00:00:00"/>
    <x v="2"/>
    <x v="8"/>
    <s v="NO LIBERADO"/>
    <s v="SANTANDER"/>
    <m/>
    <n v="563000"/>
    <n v="270240"/>
    <n v="292760"/>
    <n v="0"/>
    <n v="270240"/>
    <s v="50%"/>
    <n v="0.5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2"/>
    <s v="PTA NORTE "/>
    <s v="030304"/>
    <x v="1"/>
    <n v="3"/>
    <n v="4"/>
    <s v="ESTRELLA DE LA PRIMAVERA"/>
    <m/>
    <x v="0"/>
    <n v="80"/>
    <m/>
    <x v="1"/>
    <x v="2"/>
    <n v="1135000"/>
    <n v="221"/>
    <d v="2012-09-15T00:00:00"/>
    <x v="2"/>
    <x v="9"/>
    <s v="NO LIBERADO"/>
    <s v="SANTANDER"/>
    <m/>
    <n v="567500"/>
    <n v="0"/>
    <n v="567500"/>
    <n v="0"/>
    <n v="0"/>
    <s v="5%"/>
    <n v="0.95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3"/>
    <s v="PTA NORTE "/>
    <s v="030305"/>
    <x v="1"/>
    <n v="3"/>
    <n v="5"/>
    <s v="ESTRELLA DE LA PRIMAVERA"/>
    <m/>
    <x v="0"/>
    <n v="80"/>
    <m/>
    <x v="0"/>
    <x v="2"/>
    <n v="1126000"/>
    <n v="222"/>
    <d v="2012-09-15T00:00:00"/>
    <x v="2"/>
    <x v="10"/>
    <s v="NO LIBERADO"/>
    <s v="SANTANDER"/>
    <m/>
    <n v="563000"/>
    <n v="0"/>
    <n v="563000"/>
    <n v="0"/>
    <n v="0"/>
    <s v="5%"/>
    <n v="0.95"/>
    <d v="2012-06-23T00:00:00"/>
    <d v="2012-06-23T00:00:00"/>
    <d v="2012-06-2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4"/>
    <s v="PTA NORTE "/>
    <s v="030306"/>
    <x v="1"/>
    <n v="3"/>
    <n v="6"/>
    <s v="ESTRELLA DE LA PRIMAVERA"/>
    <m/>
    <x v="0"/>
    <n v="80"/>
    <m/>
    <x v="0"/>
    <x v="2"/>
    <n v="1126000"/>
    <n v="223"/>
    <d v="2012-09-15T00:00:00"/>
    <x v="2"/>
    <x v="10"/>
    <s v="NO LIBERADO"/>
    <s v="SANTANDER"/>
    <m/>
    <n v="563000"/>
    <n v="0"/>
    <n v="563000"/>
    <n v="0"/>
    <n v="0"/>
    <s v="5%"/>
    <n v="0.95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5"/>
    <s v="PTA NORTE "/>
    <s v="030307"/>
    <x v="1"/>
    <n v="3"/>
    <n v="7"/>
    <s v="ESTRELLA DE LA PRIMAVERA"/>
    <m/>
    <x v="0"/>
    <n v="108.857"/>
    <m/>
    <x v="1"/>
    <x v="2"/>
    <n v="1244656.6000000001"/>
    <n v="224"/>
    <d v="2012-09-15T00:00:00"/>
    <x v="2"/>
    <x v="9"/>
    <s v="NO LIBERADO"/>
    <s v="SANTANDER"/>
    <m/>
    <n v="622328.30000000005"/>
    <n v="0"/>
    <n v="622328.30000000005"/>
    <n v="0"/>
    <n v="0"/>
    <s v="5%"/>
    <n v="0.95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4148.8553333333339"/>
    <n v="4148.8553333333339"/>
    <n v="4148.8553333333339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6"/>
    <s v="PTA NORTE "/>
    <s v="030308"/>
    <x v="1"/>
    <n v="3"/>
    <n v="8"/>
    <s v="ESTRELLA DE LA PRIMAVERA"/>
    <m/>
    <x v="0"/>
    <n v="116.286"/>
    <m/>
    <x v="1"/>
    <x v="2"/>
    <n v="1272886.8"/>
    <n v="225"/>
    <d v="2012-09-15T00:00:00"/>
    <x v="2"/>
    <x v="9"/>
    <s v="NO LIBERADO"/>
    <s v="SANTANDER"/>
    <m/>
    <n v="636443.4"/>
    <n v="0"/>
    <n v="636443.4"/>
    <n v="0"/>
    <n v="0"/>
    <s v="5%"/>
    <n v="0.95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4242.9560000000001"/>
    <n v="4242.9560000000001"/>
    <n v="4242.9560000000001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7"/>
    <s v="PTA NORTE "/>
    <s v="030309"/>
    <x v="1"/>
    <n v="3"/>
    <n v="9"/>
    <s v="ESTRELLA DE LA PRIMAVERA"/>
    <m/>
    <x v="0"/>
    <n v="80"/>
    <m/>
    <x v="0"/>
    <x v="2"/>
    <n v="1126000"/>
    <n v="226"/>
    <d v="2012-09-15T00:00:00"/>
    <x v="2"/>
    <x v="9"/>
    <s v="NO LIBERADO"/>
    <s v="SANTANDER"/>
    <m/>
    <n v="563000"/>
    <n v="0"/>
    <n v="563000"/>
    <n v="0"/>
    <n v="0"/>
    <s v="5%"/>
    <n v="0.95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8"/>
    <s v="PTA NORTE "/>
    <s v="030310"/>
    <x v="1"/>
    <n v="3"/>
    <n v="10"/>
    <s v="ESTRELLA DE LA PRIMAVERA"/>
    <m/>
    <x v="0"/>
    <n v="80"/>
    <m/>
    <x v="0"/>
    <x v="2"/>
    <n v="1126000"/>
    <n v="227"/>
    <d v="2012-09-15T00:00:00"/>
    <x v="2"/>
    <x v="9"/>
    <s v="NO LIBERADO"/>
    <s v="SANTANDER"/>
    <m/>
    <n v="563000"/>
    <n v="0"/>
    <n v="563000"/>
    <n v="0"/>
    <n v="0"/>
    <s v="5%"/>
    <n v="0.95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9"/>
    <s v="PTA NORTE "/>
    <s v="030311"/>
    <x v="1"/>
    <n v="3"/>
    <n v="11"/>
    <s v="ESTRELLA DE LA PRIMAVERA"/>
    <m/>
    <x v="0"/>
    <n v="80"/>
    <m/>
    <x v="1"/>
    <x v="2"/>
    <n v="1135000"/>
    <n v="228"/>
    <d v="2012-09-15T00:00:00"/>
    <x v="2"/>
    <x v="9"/>
    <s v="NO LIBERADO"/>
    <s v="SANTANDER"/>
    <m/>
    <n v="567500"/>
    <n v="0"/>
    <n v="567500"/>
    <n v="0"/>
    <n v="0"/>
    <s v="5%"/>
    <n v="0.95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0"/>
    <s v="PTA NORTE "/>
    <s v="030312"/>
    <x v="1"/>
    <n v="3"/>
    <n v="12"/>
    <s v="ESTRELLA DE LA PRIMAVERA"/>
    <m/>
    <x v="0"/>
    <n v="80"/>
    <m/>
    <x v="0"/>
    <x v="2"/>
    <n v="1126000"/>
    <n v="229"/>
    <d v="2012-09-15T00:00:00"/>
    <x v="2"/>
    <x v="9"/>
    <s v="NO LIBERADO"/>
    <s v="SANTANDER"/>
    <m/>
    <n v="563000"/>
    <n v="0"/>
    <n v="563000"/>
    <n v="0"/>
    <n v="0"/>
    <s v="5%"/>
    <n v="0.95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1"/>
    <s v="PTA NORTE "/>
    <s v="030313"/>
    <x v="1"/>
    <n v="3"/>
    <n v="13"/>
    <s v="ESTRELLA DE LA PRIMAVERA"/>
    <m/>
    <x v="0"/>
    <n v="80"/>
    <m/>
    <x v="0"/>
    <x v="2"/>
    <n v="1126000"/>
    <n v="230"/>
    <d v="2012-09-15T00:00:00"/>
    <x v="2"/>
    <x v="9"/>
    <s v="NO LIBERADO"/>
    <s v="SANTANDER"/>
    <m/>
    <n v="563000"/>
    <n v="0"/>
    <n v="563000"/>
    <n v="0"/>
    <n v="0"/>
    <s v="5%"/>
    <n v="0.95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2"/>
    <s v="PTA NORTE "/>
    <s v="030314"/>
    <x v="1"/>
    <n v="3"/>
    <n v="14"/>
    <s v="ESTRELLA DE LA PRIMAVERA"/>
    <m/>
    <x v="0"/>
    <n v="80"/>
    <m/>
    <x v="1"/>
    <x v="2"/>
    <n v="1135000"/>
    <n v="231"/>
    <d v="2012-09-15T00:00:00"/>
    <x v="2"/>
    <x v="9"/>
    <s v="NO LIBERADO"/>
    <s v="SANTANDER"/>
    <m/>
    <n v="567500"/>
    <n v="0"/>
    <n v="567500"/>
    <n v="0"/>
    <n v="0"/>
    <s v="5%"/>
    <n v="0.95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3"/>
    <s v="PTA NORTE "/>
    <s v="030315"/>
    <x v="1"/>
    <n v="3"/>
    <n v="15"/>
    <s v="ESTRELLA DE LA PRIMAVERA"/>
    <m/>
    <x v="0"/>
    <n v="80"/>
    <m/>
    <x v="0"/>
    <x v="2"/>
    <n v="1126000"/>
    <n v="232"/>
    <d v="2012-09-15T00:00:00"/>
    <x v="2"/>
    <x v="9"/>
    <s v="NO LIBERADO"/>
    <s v="SANTANDER"/>
    <m/>
    <n v="563000"/>
    <n v="0"/>
    <n v="563000"/>
    <n v="0"/>
    <n v="0"/>
    <s v="5%"/>
    <n v="0.95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4"/>
    <s v="PTA NORTE "/>
    <s v="030316"/>
    <x v="1"/>
    <n v="3"/>
    <n v="16"/>
    <s v="ESTRELLA DE LA PRIMAVERA"/>
    <m/>
    <x v="0"/>
    <n v="80"/>
    <m/>
    <x v="0"/>
    <x v="2"/>
    <n v="1126000"/>
    <n v="233"/>
    <d v="2012-09-15T00:00:00"/>
    <x v="2"/>
    <x v="9"/>
    <s v="NO LIBERADO"/>
    <s v="SANTANDER"/>
    <m/>
    <n v="563000"/>
    <n v="0"/>
    <n v="563000"/>
    <n v="0"/>
    <n v="0"/>
    <s v="5%"/>
    <n v="0.95"/>
    <d v="2012-06-23T00:00:00"/>
    <d v="2012-06-23T00:00:00"/>
    <d v="2012-06-2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5"/>
    <s v="PTA NORTE "/>
    <s v="030401"/>
    <x v="1"/>
    <n v="4"/>
    <n v="1"/>
    <s v="ESTRELLA DE INVIERNO"/>
    <m/>
    <x v="0"/>
    <n v="115.05200000000001"/>
    <m/>
    <x v="1"/>
    <x v="2"/>
    <n v="1268197.6000000001"/>
    <n v="234"/>
    <d v="2012-09-30T00:00:00"/>
    <x v="2"/>
    <x v="9"/>
    <s v="NO LIBERADO"/>
    <s v="SANTANDER"/>
    <m/>
    <n v="634098.80000000005"/>
    <n v="0"/>
    <n v="634098.80000000005"/>
    <n v="0"/>
    <n v="0"/>
    <s v="5%"/>
    <n v="0.95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4227.3253333333332"/>
    <n v="4227.3253333333332"/>
    <n v="4227.3253333333332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6"/>
    <s v="PTA NORTE "/>
    <s v="030402"/>
    <x v="1"/>
    <n v="4"/>
    <n v="2"/>
    <s v="ESTRELLA DE INVIERNO"/>
    <m/>
    <x v="0"/>
    <n v="80"/>
    <m/>
    <x v="0"/>
    <x v="2"/>
    <n v="1126000"/>
    <n v="235"/>
    <d v="2012-09-30T00:00:00"/>
    <x v="2"/>
    <x v="9"/>
    <s v="NO LIBERADO"/>
    <s v="SANTANDER"/>
    <m/>
    <n v="563000"/>
    <n v="0"/>
    <n v="563000"/>
    <n v="0"/>
    <n v="0"/>
    <s v="5%"/>
    <n v="0.95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7"/>
    <s v="PTA NORTE "/>
    <s v="030403"/>
    <x v="1"/>
    <n v="4"/>
    <n v="3"/>
    <s v="ESTRELLA DE INVIERNO"/>
    <m/>
    <x v="0"/>
    <n v="80"/>
    <m/>
    <x v="0"/>
    <x v="2"/>
    <n v="1126000"/>
    <n v="236"/>
    <d v="2012-09-30T00:00:00"/>
    <x v="2"/>
    <x v="9"/>
    <s v="NO LIBERADO"/>
    <s v="SANTANDER"/>
    <m/>
    <n v="563000"/>
    <n v="0"/>
    <n v="563000"/>
    <n v="0"/>
    <n v="0"/>
    <s v="5%"/>
    <n v="0.95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8"/>
    <s v="PTA NORTE "/>
    <s v="030404"/>
    <x v="1"/>
    <n v="4"/>
    <n v="4"/>
    <s v="ESTRELLA DE INVIERNO"/>
    <m/>
    <x v="0"/>
    <n v="80"/>
    <m/>
    <x v="1"/>
    <x v="2"/>
    <n v="1135000"/>
    <n v="237"/>
    <d v="2012-09-30T00:00:00"/>
    <x v="2"/>
    <x v="9"/>
    <s v="NO LIBERADO"/>
    <s v="SANTANDER"/>
    <m/>
    <n v="567500"/>
    <n v="0"/>
    <n v="567500"/>
    <n v="0"/>
    <n v="0"/>
    <s v="5%"/>
    <n v="0.95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9"/>
    <s v="PTA NORTE "/>
    <s v="030405"/>
    <x v="1"/>
    <n v="4"/>
    <n v="5"/>
    <s v="ESTRELLA DE INVIERNO"/>
    <m/>
    <x v="0"/>
    <n v="80"/>
    <m/>
    <x v="0"/>
    <x v="2"/>
    <n v="1126000"/>
    <n v="238"/>
    <d v="2012-09-30T00:00:00"/>
    <x v="2"/>
    <x v="9"/>
    <s v="NO LIBERADO"/>
    <s v="SANTANDER"/>
    <m/>
    <n v="563000"/>
    <n v="0"/>
    <n v="563000"/>
    <n v="0"/>
    <n v="0"/>
    <s v="5%"/>
    <n v="0.95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0"/>
    <s v="PTA NORTE "/>
    <s v="030406"/>
    <x v="1"/>
    <n v="4"/>
    <n v="6"/>
    <s v="ESTRELLA DE INVIERNO"/>
    <m/>
    <x v="0"/>
    <n v="80"/>
    <m/>
    <x v="0"/>
    <x v="2"/>
    <n v="1126000"/>
    <n v="239"/>
    <d v="2012-09-30T00:00:00"/>
    <x v="2"/>
    <x v="9"/>
    <s v="NO LIBERADO"/>
    <s v="SANTANDER"/>
    <m/>
    <n v="563000"/>
    <n v="0"/>
    <n v="563000"/>
    <n v="0"/>
    <n v="0"/>
    <s v="5%"/>
    <n v="0.95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1"/>
    <s v="PTA NORTE "/>
    <s v="030407"/>
    <x v="1"/>
    <n v="4"/>
    <n v="7"/>
    <s v="ESTRELLA DE INVIERNO"/>
    <m/>
    <x v="0"/>
    <n v="80"/>
    <m/>
    <x v="1"/>
    <x v="2"/>
    <n v="1135000"/>
    <n v="240"/>
    <d v="2012-09-30T00:00:00"/>
    <x v="2"/>
    <x v="9"/>
    <s v="NO LIBERADO"/>
    <s v="SANTANDER"/>
    <m/>
    <n v="567500"/>
    <n v="0"/>
    <n v="567500"/>
    <n v="0"/>
    <n v="0"/>
    <s v="5%"/>
    <n v="0.95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2"/>
    <s v="PTA NORTE "/>
    <s v="030408"/>
    <x v="1"/>
    <n v="4"/>
    <n v="8"/>
    <s v="ESTRELLA DE INVIERNO"/>
    <m/>
    <x v="0"/>
    <n v="80"/>
    <m/>
    <x v="0"/>
    <x v="2"/>
    <n v="1126000"/>
    <n v="241"/>
    <d v="2012-09-30T00:00:00"/>
    <x v="2"/>
    <x v="9"/>
    <s v="NO LIBERADO"/>
    <s v="SANTANDER"/>
    <m/>
    <n v="563000"/>
    <n v="0"/>
    <n v="563000"/>
    <n v="0"/>
    <n v="0"/>
    <s v="5%"/>
    <n v="0.95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3"/>
    <s v="PTA NORTE "/>
    <s v="030409"/>
    <x v="1"/>
    <n v="4"/>
    <n v="9"/>
    <s v="ESTRELLA DE INVIERNO"/>
    <m/>
    <x v="0"/>
    <n v="80"/>
    <m/>
    <x v="0"/>
    <x v="2"/>
    <n v="1126000"/>
    <n v="242"/>
    <d v="2012-09-30T00:00:00"/>
    <x v="2"/>
    <x v="9"/>
    <s v="NO LIBERADO"/>
    <s v="SANTANDER"/>
    <m/>
    <n v="563000"/>
    <n v="0"/>
    <n v="563000"/>
    <n v="0"/>
    <n v="0"/>
    <s v="5%"/>
    <n v="0.95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4"/>
    <s v="PTA NORTE "/>
    <s v="030410"/>
    <x v="1"/>
    <n v="4"/>
    <n v="10"/>
    <s v="ESTRELLA DE INVIERNO"/>
    <m/>
    <x v="0"/>
    <n v="80"/>
    <m/>
    <x v="1"/>
    <x v="2"/>
    <n v="1135000"/>
    <n v="243"/>
    <d v="2012-09-30T00:00:00"/>
    <x v="2"/>
    <x v="9"/>
    <s v="NO LIBERADO"/>
    <s v="SANTANDER"/>
    <m/>
    <n v="567500"/>
    <n v="0"/>
    <n v="567500"/>
    <n v="0"/>
    <n v="0"/>
    <s v="5%"/>
    <n v="0.95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5"/>
    <s v="PTA NORTE "/>
    <s v="030411"/>
    <x v="1"/>
    <n v="4"/>
    <n v="11"/>
    <s v="ESTRELLA DE INVIERNO"/>
    <m/>
    <x v="0"/>
    <n v="108.857"/>
    <m/>
    <x v="0"/>
    <x v="2"/>
    <n v="1235656.6000000001"/>
    <n v="244"/>
    <d v="2012-09-30T00:00:00"/>
    <x v="2"/>
    <x v="9"/>
    <s v="NO LIBERADO"/>
    <s v="SANTANDER"/>
    <m/>
    <n v="617828.30000000005"/>
    <n v="0"/>
    <n v="617828.30000000005"/>
    <n v="0"/>
    <n v="0"/>
    <s v="5%"/>
    <n v="0.95"/>
    <d v="2012-06-23T00:00:00"/>
    <d v="2012-06-23T00:00:00"/>
    <d v="2012-06-2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4118.8553333333339"/>
    <n v="4118.8553333333339"/>
    <n v="4118.8553333333339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6"/>
    <s v="PTA NORTE "/>
    <s v="030412"/>
    <x v="1"/>
    <n v="4"/>
    <n v="12"/>
    <s v="ESTRELLA DE INVIERNO"/>
    <m/>
    <x v="0"/>
    <n v="116.286"/>
    <m/>
    <x v="0"/>
    <x v="2"/>
    <n v="1263886.8"/>
    <n v="245"/>
    <d v="2012-09-30T00:00:00"/>
    <x v="2"/>
    <x v="9"/>
    <s v="NO LIBERADO"/>
    <s v="SANTANDER"/>
    <m/>
    <n v="631943.4"/>
    <n v="0"/>
    <n v="631943.4"/>
    <n v="0"/>
    <n v="0"/>
    <s v="5%"/>
    <n v="0.95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4212.9560000000001"/>
    <n v="4212.9560000000001"/>
    <n v="4212.9560000000001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7"/>
    <s v="PTA NORTE "/>
    <s v="030413"/>
    <x v="1"/>
    <n v="4"/>
    <n v="13"/>
    <s v="ESTRELLA DE INVIERNO"/>
    <m/>
    <x v="0"/>
    <n v="80"/>
    <m/>
    <x v="0"/>
    <x v="2"/>
    <n v="1126000"/>
    <n v="246"/>
    <d v="2012-09-30T00:00:00"/>
    <x v="2"/>
    <x v="9"/>
    <s v="NO LIBERADO"/>
    <s v="SANTANDER"/>
    <m/>
    <n v="563000"/>
    <n v="0"/>
    <n v="563000"/>
    <n v="0"/>
    <n v="0"/>
    <s v="5%"/>
    <n v="0.95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8"/>
    <s v="PTA NORTE "/>
    <s v="030414"/>
    <x v="1"/>
    <n v="4"/>
    <n v="14"/>
    <s v="ESTRELLA DE INVIERNO"/>
    <m/>
    <x v="0"/>
    <n v="80"/>
    <m/>
    <x v="1"/>
    <x v="2"/>
    <n v="1135000"/>
    <n v="247"/>
    <d v="2012-09-30T00:00:00"/>
    <x v="2"/>
    <x v="9"/>
    <s v="NO LIBERADO"/>
    <s v="SANTANDER"/>
    <m/>
    <n v="567500"/>
    <n v="0"/>
    <n v="567500"/>
    <n v="0"/>
    <n v="0"/>
    <s v="5%"/>
    <n v="0.95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9"/>
    <s v="PTA NORTE "/>
    <s v="030415"/>
    <x v="1"/>
    <n v="4"/>
    <n v="15"/>
    <s v="ESTRELLA DE INVIERNO"/>
    <m/>
    <x v="0"/>
    <n v="80"/>
    <m/>
    <x v="0"/>
    <x v="2"/>
    <n v="1126000"/>
    <n v="248"/>
    <d v="2012-09-30T00:00:00"/>
    <x v="2"/>
    <x v="9"/>
    <s v="NO LIBERADO"/>
    <s v="SANTANDER"/>
    <m/>
    <n v="563000"/>
    <n v="168900"/>
    <n v="394100"/>
    <n v="0"/>
    <n v="168900"/>
    <s v="30%"/>
    <n v="0.7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0"/>
    <s v="PTA NORTE "/>
    <s v="030416"/>
    <x v="1"/>
    <n v="4"/>
    <n v="16"/>
    <s v="ESTRELLA DE INVIERNO"/>
    <m/>
    <x v="0"/>
    <n v="80"/>
    <m/>
    <x v="0"/>
    <x v="2"/>
    <n v="1126000"/>
    <n v="249"/>
    <d v="2012-09-30T00:00:00"/>
    <x v="2"/>
    <x v="9"/>
    <s v="NO LIBERADO"/>
    <s v="SANTANDER"/>
    <m/>
    <n v="563000"/>
    <n v="478550"/>
    <n v="84450"/>
    <n v="0"/>
    <n v="478550"/>
    <s v="85%"/>
    <n v="0.15000000000000002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1"/>
    <s v="PTA NORTE "/>
    <s v="030417"/>
    <x v="1"/>
    <n v="4"/>
    <n v="17"/>
    <s v="ESTRELLA DE INVIERNO"/>
    <m/>
    <x v="0"/>
    <n v="80"/>
    <m/>
    <x v="1"/>
    <x v="2"/>
    <n v="1135000"/>
    <n v="250"/>
    <d v="2012-09-30T00:00:00"/>
    <x v="2"/>
    <x v="9"/>
    <s v="NO LIBERADO"/>
    <s v="SANTANDER"/>
    <m/>
    <n v="567500"/>
    <n v="357525"/>
    <n v="209975"/>
    <n v="0"/>
    <n v="357525"/>
    <s v="65%"/>
    <n v="0.35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2"/>
    <s v="PTA NORTE "/>
    <s v="030418"/>
    <x v="1"/>
    <n v="4"/>
    <n v="18"/>
    <s v="ESTRELLA DE INVIERNO"/>
    <m/>
    <x v="0"/>
    <n v="80"/>
    <m/>
    <x v="0"/>
    <x v="2"/>
    <n v="1126000"/>
    <n v="251"/>
    <d v="2012-09-30T00:00:00"/>
    <x v="2"/>
    <x v="9"/>
    <s v="NO LIBERADO"/>
    <s v="SANTANDER"/>
    <m/>
    <n v="563000"/>
    <n v="354690"/>
    <n v="208310"/>
    <n v="0"/>
    <n v="354690"/>
    <s v="65%"/>
    <n v="0.35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3"/>
    <s v="PTA NORTE "/>
    <s v="030419"/>
    <x v="1"/>
    <n v="4"/>
    <n v="19"/>
    <s v="ESTRELLA DE INVIERNO"/>
    <m/>
    <x v="0"/>
    <n v="80"/>
    <m/>
    <x v="0"/>
    <x v="2"/>
    <n v="1126000"/>
    <n v="252"/>
    <d v="2012-09-30T00:00:00"/>
    <x v="2"/>
    <x v="9"/>
    <s v="NO LIBERADO"/>
    <s v="SANTANDER"/>
    <m/>
    <n v="563000"/>
    <n v="354690"/>
    <n v="208310"/>
    <n v="0"/>
    <n v="354690"/>
    <s v="65%"/>
    <n v="0.35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4"/>
    <s v="PTA NORTE "/>
    <s v="030420"/>
    <x v="1"/>
    <n v="4"/>
    <n v="20"/>
    <s v="ESTRELLA DE INVIERNO"/>
    <m/>
    <x v="0"/>
    <n v="80"/>
    <m/>
    <x v="1"/>
    <x v="2"/>
    <n v="1135000"/>
    <n v="253"/>
    <d v="2012-09-30T00:00:00"/>
    <x v="2"/>
    <x v="9"/>
    <s v="NO LIBERADO"/>
    <s v="SANTANDER"/>
    <m/>
    <n v="567500"/>
    <n v="357525"/>
    <n v="209975"/>
    <n v="0"/>
    <n v="357525"/>
    <s v="65%"/>
    <n v="0.35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5"/>
    <s v="PTA NORTE "/>
    <s v="030421"/>
    <x v="1"/>
    <n v="4"/>
    <n v="21"/>
    <s v="ESTRELLA DE INVIERNO"/>
    <m/>
    <x v="0"/>
    <n v="80"/>
    <m/>
    <x v="0"/>
    <x v="2"/>
    <n v="1126000"/>
    <n v="254"/>
    <d v="2012-09-30T00:00:00"/>
    <x v="2"/>
    <x v="9"/>
    <s v="NO LIBERADO"/>
    <s v="SANTANDER"/>
    <m/>
    <n v="563000"/>
    <n v="354690"/>
    <n v="208310"/>
    <n v="0"/>
    <n v="354690"/>
    <s v="65%"/>
    <n v="0.35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6"/>
    <s v="PTA NORTE "/>
    <s v="030422"/>
    <x v="1"/>
    <n v="4"/>
    <n v="22"/>
    <s v="ESTRELLA DE INVIERNO"/>
    <m/>
    <x v="0"/>
    <n v="80"/>
    <m/>
    <x v="0"/>
    <x v="2"/>
    <n v="1126000"/>
    <n v="255"/>
    <d v="2012-09-30T00:00:00"/>
    <x v="2"/>
    <x v="9"/>
    <s v="NO LIBERADO"/>
    <s v="SANTANDER"/>
    <m/>
    <n v="563000"/>
    <n v="354690"/>
    <n v="208310"/>
    <n v="0"/>
    <n v="354690"/>
    <s v="65%"/>
    <n v="0.35"/>
    <d v="2012-06-23T00:00:00"/>
    <d v="2012-06-23T00:00:00"/>
    <d v="2012-06-2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3333333333335"/>
    <n v="3753.3333333333335"/>
    <n v="375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7"/>
    <s v="PTA NORTE "/>
    <s v="030423"/>
    <x v="1"/>
    <n v="4"/>
    <n v="23"/>
    <s v="ESTRELLA DE INVIERNO"/>
    <m/>
    <x v="0"/>
    <n v="80"/>
    <m/>
    <x v="1"/>
    <x v="2"/>
    <n v="1135000"/>
    <n v="256"/>
    <d v="2012-09-30T00:00:00"/>
    <x v="2"/>
    <x v="9"/>
    <s v="NO LIBERADO"/>
    <s v="SANTANDER"/>
    <m/>
    <n v="567500"/>
    <n v="357525"/>
    <n v="209975"/>
    <n v="0"/>
    <n v="357525"/>
    <s v="65%"/>
    <n v="0.35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3.3333333333335"/>
    <n v="3783.3333333333335"/>
    <n v="3783.3333333333335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8"/>
    <s v="PTA NORTE "/>
    <s v="030424"/>
    <x v="1"/>
    <n v="4"/>
    <n v="24"/>
    <s v="ESTRELLA DE INVIERNO"/>
    <m/>
    <x v="0"/>
    <n v="109.501"/>
    <m/>
    <x v="0"/>
    <x v="2"/>
    <n v="1238103.8"/>
    <n v="257"/>
    <d v="2012-09-30T00:00:00"/>
    <x v="2"/>
    <x v="9"/>
    <s v="NO LIBERADO"/>
    <s v="SANTANDER"/>
    <m/>
    <n v="619051.9"/>
    <n v="390002.69700000004"/>
    <n v="229049.20299999998"/>
    <n v="0"/>
    <n v="390002.69700000004"/>
    <s v="65%"/>
    <n v="0.35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4127.0126666666665"/>
    <n v="4127.0126666666665"/>
    <n v="4127.0126666666665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9"/>
    <s v="PTA NORTE "/>
    <s v="040101"/>
    <x v="2"/>
    <n v="1"/>
    <n v="1"/>
    <s v="AV. DEL ESCORIAL"/>
    <m/>
    <x v="0"/>
    <n v="138.72200000000001"/>
    <m/>
    <x v="1"/>
    <x v="1"/>
    <n v="1358143.6"/>
    <n v="258"/>
    <d v="2012-10-30T00:00:00"/>
    <x v="3"/>
    <x v="0"/>
    <s v="NO LIBERADO"/>
    <s v="BANCOMER"/>
    <m/>
    <n v="679071.8"/>
    <n v="427815.23400000005"/>
    <n v="251256.56599999999"/>
    <n v="0"/>
    <n v="427815.23400000005"/>
    <s v="65%"/>
    <n v="0.35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4527.1453333333338"/>
    <n v="4527.1453333333338"/>
    <n v="4527.1453333333338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0"/>
    <s v="PTA NORTE "/>
    <s v="040102"/>
    <x v="2"/>
    <n v="1"/>
    <n v="2"/>
    <s v="CAMPO ALEGRE"/>
    <m/>
    <x v="0"/>
    <n v="130.87899999999999"/>
    <m/>
    <x v="1"/>
    <x v="1"/>
    <n v="1328340.2"/>
    <n v="259"/>
    <d v="2012-10-30T00:00:00"/>
    <x v="3"/>
    <x v="0"/>
    <s v="NO LIBERADO"/>
    <s v="BANCOMER"/>
    <m/>
    <n v="664170.1"/>
    <n v="418427.163"/>
    <n v="245742.93699999998"/>
    <n v="0"/>
    <n v="418427.163"/>
    <s v="65%"/>
    <n v="0.35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4427.800666666667"/>
    <n v="4427.800666666667"/>
    <n v="4427.800666666667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1"/>
    <s v="PTA NORTE "/>
    <s v="050101"/>
    <x v="3"/>
    <n v="1"/>
    <n v="1"/>
    <s v="TALAVERA"/>
    <m/>
    <x v="0"/>
    <n v="80.302999999999997"/>
    <m/>
    <x v="1"/>
    <x v="0"/>
    <n v="1136151.3999999999"/>
    <n v="260"/>
    <d v="2012-12-15T00:00:00"/>
    <x v="1"/>
    <x v="1"/>
    <s v="NO LIBERADO"/>
    <s v="BANCOMER"/>
    <m/>
    <n v="568075.69999999995"/>
    <n v="357887.69099999999"/>
    <n v="210188.00899999996"/>
    <n v="0"/>
    <n v="357887.69099999999"/>
    <s v="65%"/>
    <n v="0.35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87.1713333333332"/>
    <n v="3787.1713333333332"/>
    <n v="3787.1713333333332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2"/>
    <s v="PTA NORTE "/>
    <s v="060101"/>
    <x v="4"/>
    <n v="1"/>
    <n v="1"/>
    <s v="TARRAGONA"/>
    <m/>
    <x v="0"/>
    <n v="102.812"/>
    <m/>
    <x v="1"/>
    <x v="0"/>
    <n v="1221685.6000000001"/>
    <n v="261"/>
    <d v="2012-12-15T00:00:00"/>
    <x v="1"/>
    <x v="1"/>
    <s v="NO LIBERADO"/>
    <s v="BANCOMER"/>
    <m/>
    <n v="610842.80000000005"/>
    <n v="244337.12000000002"/>
    <n v="366505.68000000005"/>
    <n v="0"/>
    <n v="244337.12000000002"/>
    <s v="40%"/>
    <n v="0.6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4072.2853333333337"/>
    <n v="4072.2853333333337"/>
    <n v="4072.2853333333337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3"/>
    <s v="PTA NORTE "/>
    <s v="060102"/>
    <x v="4"/>
    <n v="1"/>
    <n v="2"/>
    <s v="TARRAGONA"/>
    <m/>
    <x v="0"/>
    <n v="91.775999999999996"/>
    <m/>
    <x v="0"/>
    <x v="0"/>
    <n v="1170748.8"/>
    <n v="262"/>
    <d v="2012-12-15T00:00:00"/>
    <x v="1"/>
    <x v="1"/>
    <s v="NO LIBERADO"/>
    <s v="BANCOMER"/>
    <m/>
    <n v="585374.4"/>
    <n v="234149.76000000001"/>
    <n v="351224.64"/>
    <n v="0"/>
    <n v="234149.76000000001"/>
    <s v="40%"/>
    <n v="0.6"/>
    <d v="2012-07-07T00:00:00"/>
    <d v="2012-07-07T00:00:00"/>
    <d v="2012-07-0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902.4960000000005"/>
    <n v="3902.4960000000005"/>
    <n v="3902.4960000000005"/>
    <m/>
    <m/>
    <m/>
    <m/>
    <s v="ND"/>
    <s v="ND"/>
    <s v="ND"/>
    <s v="ND"/>
    <s v="NA"/>
    <s v=""/>
    <s v="NA"/>
    <s v=""/>
    <s v="NA"/>
    <s v=""/>
    <s v="NA"/>
    <s v="NA"/>
    <s v="NA"/>
    <s v="DE 21 A 25 DIAS"/>
    <s v="DE 21 A 25 DIAS"/>
    <s v="DE 21 A 2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4"/>
    <s v="PTA NORTE "/>
    <s v="060103"/>
    <x v="4"/>
    <n v="1"/>
    <n v="3"/>
    <s v="TARRAGONA"/>
    <m/>
    <x v="0"/>
    <n v="89.816999999999993"/>
    <m/>
    <x v="0"/>
    <x v="0"/>
    <n v="1163304.6000000001"/>
    <n v="263"/>
    <d v="2012-12-15T00:00:00"/>
    <x v="1"/>
    <x v="1"/>
    <s v="NO LIBERADO"/>
    <s v="BANCOMER"/>
    <m/>
    <n v="581652.30000000005"/>
    <n v="232660.92000000004"/>
    <n v="348991.38"/>
    <n v="0"/>
    <n v="232660.92000000004"/>
    <s v="40%"/>
    <n v="0.6"/>
    <d v="2012-07-03T00:00:00"/>
    <d v="2012-07-03T00:00:00"/>
    <d v="2012-07-0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877.6820000000002"/>
    <n v="3877.6820000000002"/>
    <n v="3877.6820000000002"/>
    <m/>
    <m/>
    <m/>
    <m/>
    <s v="ND"/>
    <s v="ND"/>
    <s v="ND"/>
    <s v="ND"/>
    <s v="NA"/>
    <s v=""/>
    <s v="NA"/>
    <s v=""/>
    <s v="NA"/>
    <s v=""/>
    <s v="NA"/>
    <s v="NA"/>
    <s v="NA"/>
    <s v="DE 26 A 29 DIAS"/>
    <s v="DE 26 A 29 DIAS"/>
    <s v="DE 26 A 29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5"/>
    <s v="PTA NORTE "/>
    <s v="060104"/>
    <x v="4"/>
    <n v="1"/>
    <n v="4"/>
    <s v="TARRAGONA"/>
    <m/>
    <x v="0"/>
    <n v="87.858999999999995"/>
    <m/>
    <x v="1"/>
    <x v="0"/>
    <n v="1164864.2"/>
    <n v="264"/>
    <d v="2012-12-15T00:00:00"/>
    <x v="1"/>
    <x v="1"/>
    <s v="NO LIBERADO"/>
    <s v="BANCOMER"/>
    <m/>
    <n v="582432.1"/>
    <n v="232972.84"/>
    <n v="349459.26"/>
    <n v="0"/>
    <n v="232972.84"/>
    <s v="40%"/>
    <n v="0.6"/>
    <d v="2012-07-02T00:00:00"/>
    <d v="2012-07-02T00:00:00"/>
    <d v="2012-07-0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882.8806666666665"/>
    <n v="3882.8806666666665"/>
    <n v="3882.8806666666665"/>
    <m/>
    <m/>
    <m/>
    <m/>
    <s v="ND"/>
    <s v="ND"/>
    <s v="ND"/>
    <s v="ND"/>
    <s v="NA"/>
    <s v=""/>
    <s v="NA"/>
    <s v=""/>
    <s v="NA"/>
    <s v=""/>
    <s v="NA"/>
    <s v="NA"/>
    <s v="NA"/>
    <s v="30 DIAS"/>
    <s v="30 DIAS"/>
    <s v="3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6"/>
    <s v="PTA NORTE "/>
    <s v="060105"/>
    <x v="4"/>
    <n v="1"/>
    <n v="5"/>
    <s v="TARRAGONA"/>
    <m/>
    <x v="0"/>
    <n v="85.900999999999996"/>
    <m/>
    <x v="0"/>
    <x v="0"/>
    <n v="1148423.8"/>
    <n v="265"/>
    <d v="2012-12-15T00:00:00"/>
    <x v="1"/>
    <x v="1"/>
    <s v="NO LIBERADO"/>
    <s v="BANCOMER"/>
    <m/>
    <n v="574211.9"/>
    <n v="229684.76"/>
    <n v="344527.14"/>
    <n v="0"/>
    <n v="229684.76"/>
    <s v="40%"/>
    <n v="0.6"/>
    <d v="2012-06-28T00:00:00"/>
    <d v="2012-06-28T00:00:00"/>
    <d v="2012-06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828.0793333333336"/>
    <n v="3828.0793333333336"/>
    <n v="3828.0793333333336"/>
    <m/>
    <m/>
    <m/>
    <m/>
    <s v="ND"/>
    <s v="ND"/>
    <s v="ND"/>
    <s v="ND"/>
    <s v="NA"/>
    <s v=""/>
    <s v="NA"/>
    <s v=""/>
    <s v="NA"/>
    <s v=""/>
    <s v="NA"/>
    <s v="NA"/>
    <s v="NA"/>
    <s v="DE 31 A 35 DIAS"/>
    <s v="DE 31 A 35 DIAS"/>
    <s v="DE 31 A 3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7"/>
    <s v="PTA NORTE "/>
    <s v="060106"/>
    <x v="4"/>
    <n v="1"/>
    <n v="6"/>
    <s v="TARRAGONA"/>
    <m/>
    <x v="0"/>
    <n v="83.941999999999993"/>
    <m/>
    <x v="0"/>
    <x v="0"/>
    <n v="1140979.5999999999"/>
    <n v="266"/>
    <d v="2012-12-15T00:00:00"/>
    <x v="1"/>
    <x v="1"/>
    <s v="NO LIBERADO"/>
    <s v="BANCOMER"/>
    <m/>
    <n v="570489.79999999993"/>
    <n v="228195.91999999998"/>
    <n v="342293.87999999995"/>
    <n v="0"/>
    <n v="228195.91999999998"/>
    <s v="40%"/>
    <n v="0.6"/>
    <d v="2012-06-23T00:00:00"/>
    <d v="2012-06-23T00:00:00"/>
    <d v="2012-06-2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803.2653333333328"/>
    <n v="3803.2653333333328"/>
    <n v="3803.2653333333328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8"/>
    <s v="PTA NORTE "/>
    <s v="060107"/>
    <x v="4"/>
    <n v="1"/>
    <n v="7"/>
    <s v="TARRAGONA"/>
    <m/>
    <x v="0"/>
    <n v="81.983999999999995"/>
    <m/>
    <x v="1"/>
    <x v="0"/>
    <n v="1142539.2"/>
    <n v="267"/>
    <d v="2012-12-15T00:00:00"/>
    <x v="1"/>
    <x v="1"/>
    <s v="NO LIBERADO"/>
    <s v="BANCOMER"/>
    <m/>
    <n v="571269.6"/>
    <n v="228507.84"/>
    <n v="342761.76"/>
    <n v="0"/>
    <n v="228507.84"/>
    <s v="40%"/>
    <n v="0.6"/>
    <d v="2012-06-17T00:00:00"/>
    <d v="2012-06-17T00:00:00"/>
    <d v="2012-06-17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808.4639999999999"/>
    <n v="3808.4639999999999"/>
    <n v="3808.4639999999999"/>
    <m/>
    <m/>
    <m/>
    <m/>
    <s v="ND"/>
    <s v="ND"/>
    <s v="ND"/>
    <s v="ND"/>
    <s v="NA"/>
    <s v=""/>
    <s v="NA"/>
    <s v=""/>
    <s v="NA"/>
    <s v=""/>
    <s v="NA"/>
    <s v="NA"/>
    <s v="NA"/>
    <s v="DE 36 A 45 DIAS"/>
    <s v="DE 36 A 45 DIAS"/>
    <s v="DE 36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9"/>
    <s v="PTA NORTE "/>
    <s v="060108"/>
    <x v="4"/>
    <n v="1"/>
    <n v="8"/>
    <s v="TARRAGONA"/>
    <m/>
    <x v="0"/>
    <n v="80.025999999999996"/>
    <m/>
    <x v="0"/>
    <x v="0"/>
    <n v="1126098.8"/>
    <n v="268"/>
    <d v="2012-12-15T00:00:00"/>
    <x v="1"/>
    <x v="1"/>
    <s v="NO LIBERADO"/>
    <s v="BANCOMER"/>
    <m/>
    <n v="563049.4"/>
    <n v="225219.76"/>
    <n v="337829.64"/>
    <n v="0"/>
    <n v="225219.76"/>
    <s v="40%"/>
    <n v="0.6"/>
    <d v="2012-06-12T00:00:00"/>
    <d v="2012-06-12T00:00:00"/>
    <d v="2012-06-12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53.6626666666671"/>
    <n v="3753.6626666666671"/>
    <n v="3753.6626666666671"/>
    <m/>
    <m/>
    <m/>
    <m/>
    <s v="ND"/>
    <s v="ND"/>
    <s v="ND"/>
    <s v="ND"/>
    <s v="NA"/>
    <s v=""/>
    <s v="NA"/>
    <s v=""/>
    <s v="NA"/>
    <s v=""/>
    <s v="NA"/>
    <s v="NA"/>
    <s v="NA"/>
    <s v="MAYOR A 45 DIAS"/>
    <s v="MAYOR A 45 DIAS"/>
    <s v="MAYOR A 4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30"/>
    <s v="PTA NORTE "/>
    <s v="060109"/>
    <x v="4"/>
    <n v="1"/>
    <n v="9"/>
    <s v="TARRAGONA"/>
    <m/>
    <x v="0"/>
    <n v="81.149000000000001"/>
    <m/>
    <x v="0"/>
    <x v="0"/>
    <n v="1130366.2"/>
    <n v="269"/>
    <d v="2012-12-15T00:00:00"/>
    <x v="1"/>
    <x v="1"/>
    <s v="NO LIBERADO"/>
    <s v="BANCOMER"/>
    <m/>
    <n v="565183.1"/>
    <n v="226073.24"/>
    <n v="339109.86"/>
    <n v="0"/>
    <n v="226073.24"/>
    <s v="40%"/>
    <n v="0.6"/>
    <d v="2012-07-28T00:00:00"/>
    <d v="2012-07-28T00:00:00"/>
    <d v="2012-07-2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767.8873333333336"/>
    <n v="3767.8873333333336"/>
    <n v="3767.8873333333336"/>
    <m/>
    <m/>
    <m/>
    <m/>
    <s v="ND"/>
    <s v="ND"/>
    <s v="ND"/>
    <s v="ND"/>
    <s v="NA"/>
    <s v=""/>
    <s v="NA"/>
    <s v=""/>
    <s v="NA"/>
    <s v=""/>
    <s v="NA"/>
    <s v="NA"/>
    <s v="NA"/>
    <s v="HASTA 5 DIAS"/>
    <s v="HASTA 5 DIAS"/>
    <s v="HASTA 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31"/>
    <s v="PTA NORTE "/>
    <s v="060110"/>
    <x v="4"/>
    <n v="1"/>
    <n v="10"/>
    <s v="TARRAGONA"/>
    <m/>
    <x v="0"/>
    <n v="82.01"/>
    <m/>
    <x v="1"/>
    <x v="0"/>
    <n v="1142638"/>
    <n v="270"/>
    <d v="2012-12-15T00:00:00"/>
    <x v="1"/>
    <x v="1"/>
    <s v="NO LIBERADO"/>
    <s v="BANCOMER"/>
    <m/>
    <n v="571319"/>
    <n v="228527.6"/>
    <n v="342791.4"/>
    <n v="0"/>
    <n v="228527.6"/>
    <s v="40%"/>
    <n v="0.6"/>
    <d v="2012-07-23T00:00:00"/>
    <d v="2012-07-23T00:00:00"/>
    <d v="2012-07-2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808.7933333333335"/>
    <n v="3808.7933333333335"/>
    <n v="3808.7933333333335"/>
    <m/>
    <m/>
    <m/>
    <m/>
    <s v="ND"/>
    <s v="ND"/>
    <s v="ND"/>
    <s v="ND"/>
    <s v="NA"/>
    <s v=""/>
    <s v="NA"/>
    <s v=""/>
    <s v="NA"/>
    <s v=""/>
    <s v="NA"/>
    <s v="NA"/>
    <s v="NA"/>
    <s v="DE 6 A 10 DIAS"/>
    <s v="DE 6 A 10 DIAS"/>
    <s v="DE 6 A 1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32"/>
    <s v="PTA NORTE "/>
    <s v="060111"/>
    <x v="4"/>
    <n v="1"/>
    <n v="11"/>
    <s v="TALAVERA"/>
    <m/>
    <x v="0"/>
    <n v="147.453"/>
    <m/>
    <x v="1"/>
    <x v="0"/>
    <n v="1391321.4"/>
    <n v="271"/>
    <d v="2012-12-15T00:00:00"/>
    <x v="1"/>
    <x v="1"/>
    <s v="NO LIBERADO"/>
    <s v="BANCOMER"/>
    <m/>
    <n v="695660.7"/>
    <n v="278264.27999999997"/>
    <n v="417396.42"/>
    <n v="0"/>
    <n v="278264.27999999997"/>
    <s v="40%"/>
    <n v="0.6"/>
    <d v="2012-07-18T00:00:00"/>
    <d v="2012-07-18T00:00:00"/>
    <d v="2012-07-18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4637.7380000000003"/>
    <n v="4637.7380000000003"/>
    <n v="4637.7380000000003"/>
    <m/>
    <m/>
    <m/>
    <m/>
    <s v="ND"/>
    <s v="ND"/>
    <s v="ND"/>
    <s v="ND"/>
    <s v="NA"/>
    <s v=""/>
    <s v="NA"/>
    <s v=""/>
    <s v="NA"/>
    <s v=""/>
    <s v="NA"/>
    <s v="NA"/>
    <s v="NA"/>
    <s v="DE 11 A 15 DIAS"/>
    <s v="DE 11 A 15 DIAS"/>
    <s v="DE 11 A 15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33"/>
    <s v="PTA NORTE "/>
    <s v="060112"/>
    <x v="4"/>
    <n v="1"/>
    <n v="12"/>
    <s v="TALAVERA"/>
    <m/>
    <x v="0"/>
    <n v="91.872"/>
    <m/>
    <x v="0"/>
    <x v="0"/>
    <n v="1171113.6000000001"/>
    <n v="272"/>
    <d v="2012-12-15T00:00:00"/>
    <x v="1"/>
    <x v="1"/>
    <s v="NO LIBERADO"/>
    <s v="BANCOMER"/>
    <m/>
    <n v="585556.80000000005"/>
    <n v="117111.36000000002"/>
    <n v="468445.44000000006"/>
    <n v="0"/>
    <n v="117111.36000000002"/>
    <s v="20%"/>
    <n v="0.8"/>
    <d v="2012-07-13T00:00:00"/>
    <d v="2012-07-13T00:00:00"/>
    <d v="2012-07-13T00:00:00"/>
    <m/>
    <s v="NA"/>
    <m/>
    <m/>
    <m/>
    <m/>
    <m/>
    <m/>
    <m/>
    <m/>
    <m/>
    <m/>
    <s v="NA"/>
    <s v=""/>
    <m/>
    <s v="ND"/>
    <m/>
    <m/>
    <m/>
    <m/>
    <m/>
    <s v="SIN CLIENTE"/>
    <m/>
    <m/>
    <m/>
    <m/>
    <m/>
    <m/>
    <m/>
    <m/>
    <m/>
    <m/>
    <m/>
    <m/>
    <n v="0.01"/>
    <n v="3903.712"/>
    <n v="3903.712"/>
    <n v="3903.712"/>
    <m/>
    <m/>
    <m/>
    <m/>
    <s v="ND"/>
    <s v="ND"/>
    <s v="ND"/>
    <s v="ND"/>
    <s v="NA"/>
    <s v=""/>
    <s v="NA"/>
    <s v=""/>
    <s v="NA"/>
    <s v=""/>
    <s v="NA"/>
    <s v="NA"/>
    <s v="NA"/>
    <s v="DE 16 A 20 DIAS"/>
    <s v="DE 16 A 20 DIAS"/>
    <s v="DE 16 A 20 DIAS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96">
  <r>
    <n v="1"/>
    <s v="PTA NORTE "/>
    <s v="020101"/>
    <n v="2"/>
    <n v="1"/>
    <n v="1"/>
    <s v="TALAVERA"/>
    <m/>
    <x v="0"/>
    <n v="90.179000000000002"/>
    <m/>
    <s v="AKUA"/>
    <x v="0"/>
    <n v="1164680.2"/>
    <n v="40"/>
    <d v="2012-11-15T00:00:00"/>
    <s v="2DA-NOV"/>
    <n v="0.1"/>
    <x v="0"/>
    <s v="BANCOMER"/>
    <d v="2012-06-01T00:00:00"/>
    <n v="582340.1"/>
    <n v="174702.03"/>
    <n v="0"/>
    <n v="174702.03"/>
    <n v="0"/>
    <x v="0"/>
    <n v="0.7"/>
    <d v="2012-07-28T00:00:00"/>
    <d v="2012-07-28T00:00:00"/>
    <d v="2012-07-28T00:00:00"/>
    <m/>
    <x v="0"/>
    <m/>
    <m/>
    <m/>
    <m/>
    <m/>
    <m/>
    <m/>
    <m/>
    <m/>
    <m/>
    <s v="NA"/>
    <s v=""/>
    <m/>
    <x v="0"/>
    <x v="0"/>
    <x v="0"/>
    <s v="INFONAVIT"/>
    <x v="0"/>
    <d v="2012-05-20T00:00:00"/>
    <x v="0"/>
    <d v="2012-05-30T00:00:00"/>
    <d v="2012-10-15T00:00:00"/>
    <m/>
    <m/>
    <m/>
    <m/>
    <m/>
    <m/>
    <m/>
    <x v="0"/>
    <x v="0"/>
    <x v="0"/>
    <n v="0.01"/>
    <n v="3882.2673333333332"/>
    <n v="3882.2673333333332"/>
    <n v="3882.2673333333332"/>
    <d v="2012-06-15T00:00:00"/>
    <m/>
    <m/>
    <m/>
    <x v="0"/>
    <s v="ND"/>
    <s v="ND"/>
    <s v="ND"/>
    <s v="SEM 21"/>
    <s v="MAY"/>
    <s v="NA"/>
    <s v=""/>
    <s v="NA"/>
    <s v=""/>
    <x v="0"/>
    <s v="MAYOR A 2 MESES"/>
    <s v="NA"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"/>
    <s v="PTA NORTE "/>
    <s v="020102"/>
    <n v="2"/>
    <n v="1"/>
    <n v="2"/>
    <s v="TALAVERA"/>
    <m/>
    <x v="1"/>
    <n v="88.006"/>
    <m/>
    <s v="AKUA"/>
    <x v="0"/>
    <n v="1156422.8"/>
    <n v="41"/>
    <d v="2012-11-15T00:00:00"/>
    <s v="2DA-NOV"/>
    <n v="0.1"/>
    <x v="1"/>
    <s v="BANCOMER"/>
    <m/>
    <n v="578211.4"/>
    <n v="491479.69"/>
    <n v="86731.710000000021"/>
    <n v="0"/>
    <n v="491479.69"/>
    <x v="1"/>
    <n v="0.15000000000000002"/>
    <d v="2012-07-23T00:00:00"/>
    <d v="2012-07-23T00:00:00"/>
    <d v="2012-07-23T00:00:00"/>
    <m/>
    <x v="0"/>
    <m/>
    <m/>
    <m/>
    <m/>
    <m/>
    <m/>
    <m/>
    <m/>
    <m/>
    <m/>
    <s v="NA"/>
    <s v=""/>
    <m/>
    <x v="0"/>
    <x v="0"/>
    <x v="0"/>
    <s v="INFONAVIT"/>
    <x v="1"/>
    <d v="2012-07-14T00:00:00"/>
    <x v="0"/>
    <d v="2012-07-17T00:00:00"/>
    <d v="2012-10-15T00:00:00"/>
    <m/>
    <m/>
    <m/>
    <m/>
    <m/>
    <m/>
    <m/>
    <x v="1"/>
    <x v="0"/>
    <x v="0"/>
    <n v="0.01"/>
    <n v="3854.742666666667"/>
    <n v="3854.742666666667"/>
    <n v="3854.742666666667"/>
    <d v="2012-07-14T00:00:00"/>
    <m/>
    <m/>
    <m/>
    <x v="1"/>
    <s v="ND"/>
    <s v="ND"/>
    <s v="ND"/>
    <s v="SEM 28"/>
    <s v="JUL"/>
    <s v="NA"/>
    <s v=""/>
    <s v="NA"/>
    <s v=""/>
    <x v="0"/>
    <s v="3RA SEM"/>
    <s v="NA"/>
    <x v="1"/>
    <x v="1"/>
    <x v="1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"/>
    <s v="PTA NORTE "/>
    <s v="020103"/>
    <n v="2"/>
    <n v="1"/>
    <n v="3"/>
    <s v="TALAVERA"/>
    <m/>
    <x v="2"/>
    <n v="89.86"/>
    <m/>
    <s v="MARINE"/>
    <x v="0"/>
    <n v="1172468"/>
    <n v="42"/>
    <d v="2012-11-15T00:00:00"/>
    <s v="2DA-NOV"/>
    <n v="0.1"/>
    <x v="1"/>
    <s v="BANCOMER"/>
    <m/>
    <n v="586234"/>
    <n v="369327.42"/>
    <n v="216906.58000000002"/>
    <n v="0"/>
    <n v="369327.42"/>
    <x v="2"/>
    <n v="0.35"/>
    <d v="2012-07-18T00:00:00"/>
    <d v="2012-07-18T00:00:00"/>
    <d v="2012-07-18T00:00:00"/>
    <m/>
    <x v="0"/>
    <m/>
    <m/>
    <m/>
    <m/>
    <m/>
    <m/>
    <m/>
    <m/>
    <m/>
    <m/>
    <s v="NA"/>
    <s v=""/>
    <m/>
    <x v="0"/>
    <x v="0"/>
    <x v="0"/>
    <s v="INFONAVIT"/>
    <x v="2"/>
    <d v="2012-04-13T00:00:00"/>
    <x v="0"/>
    <d v="2012-05-30T00:00:00"/>
    <d v="2012-10-15T00:00:00"/>
    <m/>
    <m/>
    <m/>
    <m/>
    <m/>
    <m/>
    <m/>
    <x v="0"/>
    <x v="0"/>
    <x v="0"/>
    <n v="0.01"/>
    <n v="3908.2266666666669"/>
    <n v="3908.2266666666669"/>
    <n v="3908.2266666666669"/>
    <d v="2012-06-15T00:00:00"/>
    <m/>
    <m/>
    <m/>
    <x v="0"/>
    <s v="ND"/>
    <s v="ND"/>
    <s v="ND"/>
    <s v="SEM 15"/>
    <s v="ABR"/>
    <s v="NA"/>
    <s v=""/>
    <s v="NA"/>
    <s v=""/>
    <x v="0"/>
    <s v="MAYOR A 2 MESES"/>
    <s v="NA"/>
    <x v="2"/>
    <x v="2"/>
    <x v="2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"/>
    <s v="PTA NORTE "/>
    <s v="020104"/>
    <n v="2"/>
    <n v="1"/>
    <n v="4"/>
    <s v="TALAVERA"/>
    <m/>
    <x v="3"/>
    <n v="91.715000000000003"/>
    <m/>
    <s v="AKUA"/>
    <x v="0"/>
    <n v="1170517"/>
    <n v="43"/>
    <d v="2012-11-15T00:00:00"/>
    <s v="2DA-NOV"/>
    <n v="0.1"/>
    <x v="1"/>
    <s v="BANCOMER"/>
    <m/>
    <n v="585258.5"/>
    <n v="368712.85499999998"/>
    <n v="216545.64500000002"/>
    <n v="0"/>
    <n v="368712.85499999998"/>
    <x v="2"/>
    <n v="0.35"/>
    <d v="2012-07-13T00:00:00"/>
    <d v="2012-07-13T00:00:00"/>
    <d v="2012-07-13T00:00:00"/>
    <d v="2012-03-30T00:00:00"/>
    <x v="1"/>
    <s v="IVONNE WIBON CORTES"/>
    <m/>
    <m/>
    <m/>
    <m/>
    <m/>
    <m/>
    <n v="513541"/>
    <n v="65416514"/>
    <s v="6+54351"/>
    <s v="SEM 13"/>
    <s v="MAR"/>
    <n v="22000"/>
    <x v="1"/>
    <x v="0"/>
    <x v="0"/>
    <s v="FOVISSSTE"/>
    <x v="3"/>
    <d v="2012-03-30T00:00:00"/>
    <x v="1"/>
    <d v="2012-03-30T00:00:00"/>
    <d v="2012-11-20T00:00:00"/>
    <d v="2012-04-15T00:00:00"/>
    <m/>
    <m/>
    <m/>
    <m/>
    <n v="86"/>
    <m/>
    <x v="0"/>
    <x v="0"/>
    <x v="0"/>
    <n v="0.01"/>
    <n v="3901.7233333333334"/>
    <n v="3901.7233333333334"/>
    <n v="3901.7233333333334"/>
    <d v="2012-04-15T00:00:00"/>
    <m/>
    <m/>
    <m/>
    <x v="2"/>
    <s v="ND"/>
    <s v="ND"/>
    <s v="ND"/>
    <s v="SEM 13"/>
    <s v="MAR"/>
    <s v="NA"/>
    <s v=""/>
    <s v="NA"/>
    <s v=""/>
    <x v="1"/>
    <s v="MAYOR A 2 MESES"/>
    <s v="NA"/>
    <x v="3"/>
    <x v="3"/>
    <x v="3"/>
    <n v="5000"/>
    <n v="30000"/>
    <n v="5000"/>
    <n v="50000"/>
    <n v="10000"/>
    <m/>
    <m/>
    <m/>
    <m/>
    <m/>
    <m/>
    <s v="PAGADO"/>
    <s v="PAGADO"/>
    <s v="VENCIDO"/>
    <s v="VENCIDO"/>
    <m/>
    <m/>
    <m/>
    <m/>
    <m/>
    <m/>
    <n v="0"/>
    <n v="35000"/>
    <n v="60000"/>
    <d v="2012-04-14T00:00:00"/>
    <d v="2012-04-29T00:00:00"/>
    <d v="2012-05-14T00:00:00"/>
    <d v="2012-05-29T00:00:00"/>
    <m/>
    <m/>
    <m/>
  </r>
  <r>
    <n v="5"/>
    <s v="PTA NORTE "/>
    <s v="020105"/>
    <n v="2"/>
    <n v="1"/>
    <n v="5"/>
    <s v="TALAVERA"/>
    <m/>
    <x v="4"/>
    <n v="93.569000000000003"/>
    <m/>
    <s v="AKUA"/>
    <x v="0"/>
    <n v="1177562.2"/>
    <n v="44"/>
    <d v="2012-11-15T00:00:00"/>
    <s v="2DA-NOV"/>
    <n v="0.1"/>
    <x v="1"/>
    <s v="BANCOMER"/>
    <m/>
    <n v="588781.1"/>
    <n v="370932.09299999999"/>
    <n v="217849.00699999998"/>
    <n v="0"/>
    <n v="370932.09299999999"/>
    <x v="2"/>
    <n v="0.35"/>
    <d v="2012-07-07T00:00:00"/>
    <d v="2012-07-07T00:00:00"/>
    <d v="2012-07-07T00:00:00"/>
    <d v="2012-04-15T00:00:00"/>
    <x v="1"/>
    <s v="JOSE CARTER RAZO"/>
    <m/>
    <m/>
    <m/>
    <m/>
    <m/>
    <m/>
    <n v="36321654"/>
    <n v="3216543"/>
    <m/>
    <s v="SEM 16"/>
    <s v="ABR"/>
    <n v="17000"/>
    <x v="2"/>
    <x v="1"/>
    <x v="0"/>
    <s v="BANCOS"/>
    <x v="2"/>
    <d v="2012-04-16T00:00:00"/>
    <x v="2"/>
    <d v="2012-04-30T00:00:00"/>
    <d v="2012-05-21T00:00:00"/>
    <d v="2012-05-12T00:00:00"/>
    <m/>
    <d v="2012-05-21T00:00:00"/>
    <d v="2012-05-30T00:00:00"/>
    <m/>
    <n v="86"/>
    <d v="2012-06-05T00:00:00"/>
    <x v="0"/>
    <x v="1"/>
    <x v="1"/>
    <n v="0.01"/>
    <n v="3925.2073333333333"/>
    <n v="3925.2073333333333"/>
    <n v="3925.2073333333333"/>
    <d v="2012-05-01T00:00:00"/>
    <d v="2012-05-15T00:00:00"/>
    <d v="2012-05-30T00:00:00"/>
    <m/>
    <x v="3"/>
    <s v="2DA-MAY-2012"/>
    <s v="2DA-MAY-2012"/>
    <s v="ND"/>
    <s v="SEM 16"/>
    <s v="ABR"/>
    <s v="SEM 21"/>
    <s v="MAY"/>
    <s v="SEM 23"/>
    <s v="JUN"/>
    <x v="2"/>
    <s v="MAYOR A 2 MESES"/>
    <s v="MAYOR A 2 MESES"/>
    <x v="4"/>
    <x v="4"/>
    <x v="4"/>
    <n v="5000"/>
    <n v="20000"/>
    <n v="200000"/>
    <m/>
    <m/>
    <m/>
    <m/>
    <m/>
    <m/>
    <m/>
    <m/>
    <s v="PAGADO"/>
    <s v="PAGADO"/>
    <m/>
    <m/>
    <m/>
    <m/>
    <m/>
    <m/>
    <m/>
    <m/>
    <n v="0"/>
    <n v="220000"/>
    <n v="0"/>
    <d v="2012-04-20T00:00:00"/>
    <d v="2012-05-15T00:00:00"/>
    <m/>
    <m/>
    <m/>
    <m/>
    <m/>
  </r>
  <r>
    <n v="6"/>
    <s v="PTA NORTE "/>
    <s v="020106"/>
    <n v="2"/>
    <n v="1"/>
    <n v="6"/>
    <s v="TALAVERA"/>
    <m/>
    <x v="0"/>
    <n v="104.95099999999999"/>
    <m/>
    <s v="MARINE"/>
    <x v="0"/>
    <n v="1229813.8"/>
    <n v="45"/>
    <d v="2012-11-15T00:00:00"/>
    <s v="2DA-NOV"/>
    <n v="0.1"/>
    <x v="1"/>
    <s v="BANCOMER"/>
    <m/>
    <n v="614906.9"/>
    <n v="387391.34700000001"/>
    <n v="227515.55300000001"/>
    <n v="0"/>
    <n v="387391.34700000001"/>
    <x v="2"/>
    <n v="0.35"/>
    <d v="2012-07-03T00:00:00"/>
    <d v="2012-07-03T00:00:00"/>
    <d v="2012-07-03T00:00:00"/>
    <m/>
    <x v="0"/>
    <m/>
    <m/>
    <m/>
    <m/>
    <m/>
    <m/>
    <m/>
    <m/>
    <m/>
    <m/>
    <s v="NA"/>
    <s v=""/>
    <m/>
    <x v="0"/>
    <x v="0"/>
    <x v="0"/>
    <s v="INFONAVIT"/>
    <x v="0"/>
    <d v="2012-05-20T00:00:00"/>
    <x v="0"/>
    <d v="2012-05-30T00:00:00"/>
    <d v="2012-10-15T00:00:00"/>
    <m/>
    <m/>
    <m/>
    <m/>
    <m/>
    <m/>
    <m/>
    <x v="0"/>
    <x v="0"/>
    <x v="0"/>
    <n v="0.01"/>
    <n v="4099.3793333333333"/>
    <n v="4099.3793333333333"/>
    <n v="4099.3793333333333"/>
    <d v="2012-06-15T00:00:00"/>
    <m/>
    <m/>
    <m/>
    <x v="0"/>
    <s v="ND"/>
    <s v="ND"/>
    <s v="ND"/>
    <s v="SEM 21"/>
    <s v="MAY"/>
    <s v="NA"/>
    <s v=""/>
    <s v="NA"/>
    <s v=""/>
    <x v="0"/>
    <s v="MAYOR A 2 MESES"/>
    <s v="NA"/>
    <x v="5"/>
    <x v="5"/>
    <x v="5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"/>
    <s v="PTA NORTE "/>
    <s v="020201"/>
    <n v="2"/>
    <n v="2"/>
    <n v="1"/>
    <s v="ESTRELLA ORIENTE"/>
    <m/>
    <x v="0"/>
    <n v="83.653999999999996"/>
    <m/>
    <s v="MARINE"/>
    <x v="0"/>
    <n v="1148885.2"/>
    <n v="46"/>
    <d v="2012-11-15T00:00:00"/>
    <s v="2DA-NOV"/>
    <n v="0.1"/>
    <x v="1"/>
    <s v="BANCOMER"/>
    <m/>
    <n v="574442.6"/>
    <n v="361898.83799999999"/>
    <n v="212543.76199999999"/>
    <n v="0"/>
    <n v="361898.83799999999"/>
    <x v="2"/>
    <n v="0.35"/>
    <d v="2012-07-02T00:00:00"/>
    <d v="2012-07-02T00:00:00"/>
    <d v="2012-07-02T00:00:00"/>
    <m/>
    <x v="0"/>
    <m/>
    <m/>
    <m/>
    <m/>
    <m/>
    <m/>
    <m/>
    <m/>
    <m/>
    <m/>
    <s v="NA"/>
    <s v=""/>
    <m/>
    <x v="0"/>
    <x v="0"/>
    <x v="0"/>
    <s v="INFONAVIT"/>
    <x v="3"/>
    <d v="2012-06-15T00:00:00"/>
    <x v="3"/>
    <d v="2012-06-20T00:00:00"/>
    <d v="2012-10-15T00:00:00"/>
    <m/>
    <m/>
    <m/>
    <m/>
    <m/>
    <m/>
    <m/>
    <x v="0"/>
    <x v="0"/>
    <x v="0"/>
    <n v="0.01"/>
    <n v="3829.6173333333331"/>
    <n v="3829.6173333333331"/>
    <n v="3829.6173333333331"/>
    <d v="2012-06-30T00:00:00"/>
    <m/>
    <m/>
    <m/>
    <x v="0"/>
    <s v="ND"/>
    <s v="ND"/>
    <s v="ND"/>
    <s v="SEM 24"/>
    <s v="JUN"/>
    <s v="NA"/>
    <s v=""/>
    <s v="NA"/>
    <s v=""/>
    <x v="0"/>
    <s v="7MA SEM"/>
    <s v="NA"/>
    <x v="6"/>
    <x v="6"/>
    <x v="6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"/>
    <s v="PTA NORTE "/>
    <s v="020202"/>
    <n v="2"/>
    <n v="2"/>
    <n v="2"/>
    <s v="ESTRELLA ORIENTE"/>
    <m/>
    <x v="0"/>
    <n v="80"/>
    <m/>
    <s v="AKUA"/>
    <x v="0"/>
    <n v="1126000"/>
    <n v="47"/>
    <d v="2012-11-15T00:00:00"/>
    <s v="2DA-NOV"/>
    <n v="0.1"/>
    <x v="1"/>
    <s v="BANCOMER"/>
    <m/>
    <n v="563000"/>
    <n v="354690"/>
    <n v="208310"/>
    <n v="0"/>
    <n v="354690"/>
    <x v="2"/>
    <n v="0.35"/>
    <d v="2012-06-28T00:00:00"/>
    <d v="2012-06-28T00:00:00"/>
    <d v="2012-06-28T00:00:00"/>
    <m/>
    <x v="0"/>
    <m/>
    <m/>
    <m/>
    <m/>
    <m/>
    <m/>
    <m/>
    <m/>
    <m/>
    <m/>
    <s v="NA"/>
    <s v=""/>
    <m/>
    <x v="0"/>
    <x v="0"/>
    <x v="0"/>
    <s v="INFONAVIT"/>
    <x v="1"/>
    <d v="2012-05-20T00:00:00"/>
    <x v="3"/>
    <d v="2012-05-25T00:00:00"/>
    <d v="2012-10-15T00:00:00"/>
    <m/>
    <m/>
    <m/>
    <m/>
    <m/>
    <m/>
    <m/>
    <x v="2"/>
    <x v="0"/>
    <x v="0"/>
    <n v="0.01"/>
    <n v="3753.3333333333335"/>
    <n v="3753.3333333333335"/>
    <n v="3753.3333333333335"/>
    <d v="2012-05-30T00:00:00"/>
    <m/>
    <m/>
    <m/>
    <x v="4"/>
    <s v="ND"/>
    <s v="ND"/>
    <s v="ND"/>
    <s v="SEM 21"/>
    <s v="MAY"/>
    <s v="NA"/>
    <s v=""/>
    <s v="NA"/>
    <s v=""/>
    <x v="0"/>
    <s v="MAYOR A 2 MESES"/>
    <s v="NA"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"/>
    <s v="PTA NORTE "/>
    <s v="020203"/>
    <n v="2"/>
    <n v="2"/>
    <n v="3"/>
    <s v="ESTRELLA ORIENTE"/>
    <m/>
    <x v="0"/>
    <n v="80"/>
    <m/>
    <s v="AKUA"/>
    <x v="0"/>
    <n v="1126000"/>
    <n v="48"/>
    <d v="2012-11-15T00:00:00"/>
    <s v="2DA-NOV"/>
    <n v="0.1"/>
    <x v="1"/>
    <s v="BANCOMER"/>
    <m/>
    <n v="563000"/>
    <n v="354690"/>
    <n v="208310"/>
    <n v="0"/>
    <n v="354690"/>
    <x v="2"/>
    <n v="0.35"/>
    <d v="2012-06-23T00:00:00"/>
    <d v="2012-06-23T00:00:00"/>
    <d v="2012-06-23T00:00:00"/>
    <m/>
    <x v="0"/>
    <m/>
    <m/>
    <m/>
    <m/>
    <m/>
    <m/>
    <m/>
    <m/>
    <m/>
    <m/>
    <s v="NA"/>
    <s v=""/>
    <m/>
    <x v="0"/>
    <x v="0"/>
    <x v="0"/>
    <s v="INFONAVIT"/>
    <x v="1"/>
    <d v="2012-07-14T00:00:00"/>
    <x v="3"/>
    <d v="2012-07-16T00:00:00"/>
    <d v="2012-10-15T00:00:00"/>
    <m/>
    <m/>
    <m/>
    <m/>
    <m/>
    <m/>
    <m/>
    <x v="1"/>
    <x v="0"/>
    <x v="0"/>
    <n v="0.01"/>
    <n v="3753.3333333333335"/>
    <n v="3753.3333333333335"/>
    <n v="3753.3333333333335"/>
    <d v="2012-07-15T00:00:00"/>
    <m/>
    <m/>
    <m/>
    <x v="1"/>
    <s v="ND"/>
    <s v="ND"/>
    <s v="ND"/>
    <s v="SEM 28"/>
    <s v="JUL"/>
    <s v="NA"/>
    <s v=""/>
    <s v="NA"/>
    <s v=""/>
    <x v="0"/>
    <s v="3RA SEM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"/>
    <s v="PTA NORTE "/>
    <s v="020204"/>
    <n v="2"/>
    <n v="2"/>
    <n v="4"/>
    <s v="ESTRELLA ORIENTE"/>
    <m/>
    <x v="0"/>
    <n v="80"/>
    <m/>
    <s v="MARINE"/>
    <x v="0"/>
    <n v="1135000"/>
    <n v="49"/>
    <d v="2012-11-15T00:00:00"/>
    <s v="2DA-NOV"/>
    <n v="0.1"/>
    <x v="1"/>
    <s v="BANCOMER"/>
    <m/>
    <n v="567500"/>
    <n v="357525"/>
    <n v="209975"/>
    <n v="0"/>
    <n v="357525"/>
    <x v="2"/>
    <n v="0.35"/>
    <d v="2012-06-17T00:00:00"/>
    <d v="2012-06-17T00:00:00"/>
    <d v="2012-06-17T00:00:00"/>
    <m/>
    <x v="0"/>
    <m/>
    <m/>
    <m/>
    <m/>
    <m/>
    <m/>
    <m/>
    <m/>
    <m/>
    <m/>
    <s v="NA"/>
    <s v=""/>
    <m/>
    <x v="0"/>
    <x v="0"/>
    <x v="0"/>
    <s v="INFONAVIT"/>
    <x v="3"/>
    <d v="2012-04-13T00:00:00"/>
    <x v="4"/>
    <d v="2012-04-30T00:00:00"/>
    <d v="2012-10-15T00:00:00"/>
    <m/>
    <m/>
    <m/>
    <m/>
    <m/>
    <m/>
    <m/>
    <x v="0"/>
    <x v="0"/>
    <x v="0"/>
    <n v="0.01"/>
    <n v="3783.3333333333335"/>
    <n v="3783.3333333333335"/>
    <n v="3783.3333333333335"/>
    <d v="2012-05-15T00:00:00"/>
    <m/>
    <m/>
    <m/>
    <x v="4"/>
    <s v="ND"/>
    <s v="ND"/>
    <s v="ND"/>
    <s v="SEM 15"/>
    <s v="ABR"/>
    <s v="NA"/>
    <s v=""/>
    <s v="NA"/>
    <s v=""/>
    <x v="0"/>
    <s v="MAYOR A 2 MESES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"/>
    <s v="PTA NORTE "/>
    <s v="020205"/>
    <n v="2"/>
    <n v="2"/>
    <n v="5"/>
    <s v="ESTRELLA ORIENTE"/>
    <m/>
    <x v="0"/>
    <n v="80"/>
    <m/>
    <s v="AKUA"/>
    <x v="0"/>
    <n v="1126000"/>
    <n v="50"/>
    <d v="2012-11-15T00:00:00"/>
    <s v="2DA-NOV"/>
    <n v="0.1"/>
    <x v="1"/>
    <s v="BANCOMER"/>
    <m/>
    <n v="563000"/>
    <n v="354690"/>
    <n v="208310"/>
    <n v="0"/>
    <n v="354690"/>
    <x v="2"/>
    <n v="0.35"/>
    <d v="2012-06-12T00:00:00"/>
    <d v="2012-06-12T00:00:00"/>
    <d v="2012-06-12T00:00:00"/>
    <m/>
    <x v="0"/>
    <m/>
    <m/>
    <m/>
    <m/>
    <m/>
    <m/>
    <m/>
    <m/>
    <m/>
    <m/>
    <s v="NA"/>
    <s v=""/>
    <m/>
    <x v="0"/>
    <x v="0"/>
    <x v="0"/>
    <s v="INFONAVIT"/>
    <x v="2"/>
    <d v="2012-05-20T00:00:00"/>
    <x v="4"/>
    <d v="2012-05-30T00:00:00"/>
    <d v="2012-10-15T00:00:00"/>
    <m/>
    <m/>
    <m/>
    <m/>
    <m/>
    <m/>
    <m/>
    <x v="0"/>
    <x v="0"/>
    <x v="0"/>
    <n v="0.01"/>
    <n v="3753.3333333333335"/>
    <n v="3753.3333333333335"/>
    <n v="3753.3333333333335"/>
    <d v="2012-05-30T00:00:00"/>
    <m/>
    <m/>
    <m/>
    <x v="4"/>
    <s v="ND"/>
    <s v="ND"/>
    <s v="ND"/>
    <s v="SEM 21"/>
    <s v="MAY"/>
    <s v="NA"/>
    <s v=""/>
    <s v="NA"/>
    <s v=""/>
    <x v="0"/>
    <s v="MAYOR A 2 MESES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"/>
    <s v="PTA NORTE "/>
    <s v="020206"/>
    <n v="2"/>
    <n v="2"/>
    <n v="6"/>
    <s v="ESTRELLA ORIENTE"/>
    <m/>
    <x v="0"/>
    <n v="80"/>
    <m/>
    <s v="AKUA"/>
    <x v="0"/>
    <n v="1126000"/>
    <n v="51"/>
    <d v="2012-11-15T00:00:00"/>
    <s v="2DA-NOV"/>
    <n v="0.1"/>
    <x v="1"/>
    <s v="BANCOMER"/>
    <m/>
    <n v="563000"/>
    <n v="354690"/>
    <n v="208310"/>
    <n v="0"/>
    <n v="354690"/>
    <x v="2"/>
    <n v="0.35"/>
    <d v="2012-07-28T00:00:00"/>
    <d v="2012-07-28T00:00:00"/>
    <d v="2012-07-28T00:00:00"/>
    <m/>
    <x v="0"/>
    <m/>
    <m/>
    <m/>
    <m/>
    <m/>
    <m/>
    <m/>
    <m/>
    <m/>
    <m/>
    <s v="NA"/>
    <s v=""/>
    <m/>
    <x v="0"/>
    <x v="0"/>
    <x v="0"/>
    <s v="INFONAVIT"/>
    <x v="3"/>
    <d v="2012-05-20T00:00:00"/>
    <x v="4"/>
    <d v="2012-05-30T00:00:00"/>
    <d v="2012-10-15T00:00:00"/>
    <m/>
    <m/>
    <m/>
    <m/>
    <m/>
    <m/>
    <m/>
    <x v="0"/>
    <x v="0"/>
    <x v="0"/>
    <n v="0.01"/>
    <n v="3753.3333333333335"/>
    <n v="3753.3333333333335"/>
    <n v="3753.3333333333335"/>
    <d v="2012-06-15T00:00:00"/>
    <m/>
    <m/>
    <m/>
    <x v="0"/>
    <s v="ND"/>
    <s v="ND"/>
    <s v="ND"/>
    <s v="SEM 21"/>
    <s v="MAY"/>
    <s v="NA"/>
    <s v=""/>
    <s v="NA"/>
    <s v=""/>
    <x v="0"/>
    <s v="MAYOR A 2 MESES"/>
    <s v="NA"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"/>
    <s v="PTA NORTE "/>
    <s v="020207"/>
    <n v="2"/>
    <n v="2"/>
    <n v="7"/>
    <s v="ESTRELLA ORIENTE"/>
    <m/>
    <x v="0"/>
    <n v="106.81"/>
    <m/>
    <s v="MARINE"/>
    <x v="0"/>
    <n v="1236878"/>
    <n v="52"/>
    <d v="2012-11-15T00:00:00"/>
    <s v="2DA-NOV"/>
    <n v="0.1"/>
    <x v="1"/>
    <s v="BANCOMER"/>
    <m/>
    <n v="618439"/>
    <n v="389616.57"/>
    <n v="228822.43"/>
    <n v="0"/>
    <n v="389616.57"/>
    <x v="2"/>
    <n v="0.35"/>
    <d v="2012-07-28T00:00:00"/>
    <d v="2012-07-28T00:00:00"/>
    <d v="2012-07-28T00:00:00"/>
    <m/>
    <x v="0"/>
    <m/>
    <m/>
    <m/>
    <m/>
    <m/>
    <m/>
    <m/>
    <m/>
    <m/>
    <m/>
    <s v="NA"/>
    <s v=""/>
    <m/>
    <x v="0"/>
    <x v="0"/>
    <x v="0"/>
    <s v="INFONAVIT"/>
    <x v="0"/>
    <d v="2012-06-15T00:00:00"/>
    <x v="4"/>
    <d v="2012-06-17T00:00:00"/>
    <d v="2012-10-15T00:00:00"/>
    <m/>
    <m/>
    <m/>
    <m/>
    <m/>
    <m/>
    <m/>
    <x v="2"/>
    <x v="0"/>
    <x v="0"/>
    <n v="0.01"/>
    <n v="4122.9266666666672"/>
    <n v="4122.9266666666672"/>
    <n v="4122.9266666666672"/>
    <d v="2012-06-30T00:00:00"/>
    <m/>
    <m/>
    <m/>
    <x v="0"/>
    <s v="ND"/>
    <s v="ND"/>
    <s v="ND"/>
    <s v="SEM 24"/>
    <s v="JUN"/>
    <s v="NA"/>
    <s v=""/>
    <s v="NA"/>
    <s v=""/>
    <x v="0"/>
    <s v="7MA SEM"/>
    <s v="NA"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"/>
    <s v="PTA NORTE "/>
    <s v="020208"/>
    <n v="2"/>
    <n v="2"/>
    <n v="8"/>
    <s v="ESTRELLA ORIENTE"/>
    <m/>
    <x v="0"/>
    <n v="80"/>
    <m/>
    <s v="AKUA"/>
    <x v="0"/>
    <n v="1126000"/>
    <n v="53"/>
    <d v="2012-11-15T00:00:00"/>
    <s v="2DA-NOV"/>
    <n v="0.1"/>
    <x v="1"/>
    <s v="BANCOMER"/>
    <m/>
    <n v="563000"/>
    <n v="225200"/>
    <n v="337800"/>
    <n v="0"/>
    <n v="225200"/>
    <x v="3"/>
    <n v="0.6"/>
    <d v="2012-07-28T00:00:00"/>
    <d v="2012-07-28T00:00:00"/>
    <d v="2012-07-28T00:00:00"/>
    <m/>
    <x v="0"/>
    <m/>
    <m/>
    <m/>
    <m/>
    <m/>
    <m/>
    <m/>
    <m/>
    <m/>
    <m/>
    <s v="NA"/>
    <s v=""/>
    <m/>
    <x v="0"/>
    <x v="0"/>
    <x v="0"/>
    <s v="INFONAVIT"/>
    <x v="1"/>
    <d v="2012-06-15T00:00:00"/>
    <x v="0"/>
    <d v="2012-06-20T00:00:00"/>
    <d v="2012-10-15T00:00:00"/>
    <m/>
    <m/>
    <m/>
    <m/>
    <m/>
    <m/>
    <m/>
    <x v="2"/>
    <x v="0"/>
    <x v="0"/>
    <n v="0.01"/>
    <n v="3753.3333333333335"/>
    <n v="3753.3333333333335"/>
    <n v="3753.3333333333335"/>
    <d v="2012-06-30T00:00:00"/>
    <m/>
    <m/>
    <m/>
    <x v="0"/>
    <s v="ND"/>
    <s v="ND"/>
    <s v="ND"/>
    <s v="SEM 24"/>
    <s v="JUN"/>
    <s v="NA"/>
    <s v=""/>
    <s v="NA"/>
    <s v=""/>
    <x v="0"/>
    <s v="7MA SEM"/>
    <s v="NA"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"/>
    <s v="PTA NORTE "/>
    <s v="020209"/>
    <n v="2"/>
    <n v="2"/>
    <n v="9"/>
    <s v="ESTRELLA ORIENTE"/>
    <m/>
    <x v="0"/>
    <n v="80"/>
    <m/>
    <s v="AKUA"/>
    <x v="0"/>
    <n v="1126000"/>
    <n v="54"/>
    <d v="2012-11-15T00:00:00"/>
    <s v="2DA-NOV"/>
    <n v="0.1"/>
    <x v="1"/>
    <s v="BANCOMER"/>
    <m/>
    <n v="563000"/>
    <n v="225200"/>
    <n v="337800"/>
    <n v="0"/>
    <n v="225200"/>
    <x v="3"/>
    <n v="0.6"/>
    <d v="2012-07-28T00:00:00"/>
    <d v="2012-07-28T00:00:00"/>
    <d v="2012-07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"/>
    <s v="PTA NORTE "/>
    <s v="020210"/>
    <n v="2"/>
    <n v="2"/>
    <n v="10"/>
    <s v="ESTRELLA ORIENTE"/>
    <m/>
    <x v="0"/>
    <n v="80"/>
    <m/>
    <s v="MARINE"/>
    <x v="0"/>
    <n v="1135000"/>
    <n v="55"/>
    <d v="2012-11-15T00:00:00"/>
    <s v="2DA-NOV"/>
    <n v="0.1"/>
    <x v="1"/>
    <s v="BANCOMER"/>
    <m/>
    <n v="567500"/>
    <n v="227000"/>
    <n v="340500"/>
    <n v="0"/>
    <n v="227000"/>
    <x v="3"/>
    <n v="0.6"/>
    <d v="2012-07-28T00:00:00"/>
    <d v="2012-07-28T00:00:00"/>
    <d v="2012-07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"/>
    <s v="PTA NORTE "/>
    <s v="020211"/>
    <n v="2"/>
    <n v="2"/>
    <n v="11"/>
    <s v="ESTRELLA ORIENTE"/>
    <m/>
    <x v="0"/>
    <n v="80"/>
    <m/>
    <s v="AKUA"/>
    <x v="0"/>
    <n v="1126000"/>
    <n v="56"/>
    <d v="2012-11-15T00:00:00"/>
    <s v="2DA-NOV"/>
    <n v="0.1"/>
    <x v="1"/>
    <s v="BANCOMER"/>
    <m/>
    <n v="563000"/>
    <n v="225200"/>
    <n v="337800"/>
    <n v="0"/>
    <n v="225200"/>
    <x v="3"/>
    <n v="0.6"/>
    <d v="2012-07-28T00:00:00"/>
    <d v="2012-07-28T00:00:00"/>
    <d v="2012-07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"/>
    <s v="PTA NORTE "/>
    <s v="020212"/>
    <n v="2"/>
    <n v="2"/>
    <n v="12"/>
    <s v="ESTRELLA ORIENTE"/>
    <m/>
    <x v="0"/>
    <n v="80"/>
    <m/>
    <s v="AKUA"/>
    <x v="0"/>
    <n v="1126000"/>
    <n v="57"/>
    <d v="2012-11-23T00:00:00"/>
    <s v="2DA-NOV"/>
    <n v="0.1"/>
    <x v="1"/>
    <s v="BANCOMER"/>
    <m/>
    <n v="563000"/>
    <n v="225200"/>
    <n v="337800"/>
    <n v="0"/>
    <n v="225200"/>
    <x v="3"/>
    <n v="0.6"/>
    <d v="2012-06-30T00:00:00"/>
    <d v="2012-06-30T00:00:00"/>
    <d v="2012-06-30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"/>
    <s v="PTA NORTE "/>
    <s v="020213"/>
    <n v="2"/>
    <n v="2"/>
    <n v="13"/>
    <s v="ESTRELLA ORIENTE"/>
    <m/>
    <x v="0"/>
    <n v="83.468999999999994"/>
    <m/>
    <s v="MARINE"/>
    <x v="0"/>
    <n v="1148182.2"/>
    <n v="58"/>
    <d v="2012-11-23T00:00:00"/>
    <s v="2DA-NOV"/>
    <n v="0.1"/>
    <x v="1"/>
    <s v="BANCOMER"/>
    <m/>
    <n v="574091.1"/>
    <n v="229636.44"/>
    <n v="344454.66"/>
    <n v="0"/>
    <n v="229636.44"/>
    <x v="3"/>
    <n v="0.6"/>
    <d v="2012-06-15T00:00:00"/>
    <d v="2012-06-15T00:00:00"/>
    <d v="2012-06-15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827.2739999999999"/>
    <n v="3827.2739999999999"/>
    <n v="3827.2739999999999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"/>
    <s v="PTA NORTE "/>
    <s v="020301"/>
    <n v="2"/>
    <n v="3"/>
    <n v="1"/>
    <s v="ESTRELLA VIAJERA"/>
    <m/>
    <x v="0"/>
    <n v="83.346000000000004"/>
    <m/>
    <s v="MARINE"/>
    <x v="0"/>
    <n v="1147714.8"/>
    <n v="59"/>
    <d v="2012-11-23T00:00:00"/>
    <s v="2DA-NOV"/>
    <n v="0.1"/>
    <x v="1"/>
    <s v="BANCOMER"/>
    <m/>
    <n v="573857.4"/>
    <n v="229542.96000000002"/>
    <n v="344314.44"/>
    <n v="0"/>
    <n v="229542.96000000002"/>
    <x v="3"/>
    <n v="0.6"/>
    <d v="2012-06-01T00:00:00"/>
    <d v="2012-06-01T00:00:00"/>
    <d v="2012-06-01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825.7160000000003"/>
    <n v="3825.7160000000003"/>
    <n v="3825.7160000000003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"/>
    <s v="PTA NORTE "/>
    <s v="020302"/>
    <n v="2"/>
    <n v="3"/>
    <n v="2"/>
    <s v="ESTRELLA VIAJERA"/>
    <m/>
    <x v="0"/>
    <n v="80"/>
    <m/>
    <s v="AKUA"/>
    <x v="0"/>
    <n v="1126000"/>
    <n v="60"/>
    <d v="2012-11-23T00:00:00"/>
    <s v="2DA-NOV"/>
    <n v="0.1"/>
    <x v="1"/>
    <s v="BANCOMER"/>
    <m/>
    <n v="563000"/>
    <n v="225200"/>
    <n v="337800"/>
    <n v="0"/>
    <n v="225200"/>
    <x v="3"/>
    <n v="0.6"/>
    <d v="2012-06-07T00:00:00"/>
    <d v="2012-06-07T00:00:00"/>
    <d v="2012-06-0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"/>
    <s v="PTA NORTE "/>
    <s v="020303"/>
    <n v="2"/>
    <n v="3"/>
    <n v="3"/>
    <s v="ESTRELLA VIAJERA"/>
    <m/>
    <x v="0"/>
    <n v="80"/>
    <m/>
    <s v="AKUA"/>
    <x v="0"/>
    <n v="1126000"/>
    <n v="61"/>
    <d v="2012-11-23T00:00:00"/>
    <s v="2DA-NOV"/>
    <n v="0.1"/>
    <x v="1"/>
    <s v="BANCOMER"/>
    <m/>
    <n v="563000"/>
    <n v="225200"/>
    <n v="337800"/>
    <n v="0"/>
    <n v="225200"/>
    <x v="3"/>
    <n v="0.6"/>
    <d v="2012-06-10T00:00:00"/>
    <d v="2012-06-10T00:00:00"/>
    <d v="2012-06-10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3"/>
    <s v="PTA NORTE "/>
    <s v="020304"/>
    <n v="2"/>
    <n v="3"/>
    <n v="4"/>
    <s v="ESTRELLA VIAJERA"/>
    <m/>
    <x v="0"/>
    <n v="80"/>
    <m/>
    <s v="MARINE"/>
    <x v="0"/>
    <n v="1135000"/>
    <n v="62"/>
    <d v="2012-11-23T00:00:00"/>
    <s v="2DA-NOV"/>
    <n v="0.1"/>
    <x v="1"/>
    <s v="BANCOMER"/>
    <m/>
    <n v="567500"/>
    <n v="227000"/>
    <n v="340500"/>
    <n v="0"/>
    <n v="227000"/>
    <x v="3"/>
    <n v="0.6"/>
    <d v="2012-06-09T00:00:00"/>
    <d v="2012-06-09T00:00:00"/>
    <d v="2012-06-09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4"/>
    <s v="PTA NORTE "/>
    <s v="020305"/>
    <n v="2"/>
    <n v="3"/>
    <n v="5"/>
    <s v="ESTRELLA VIAJERA"/>
    <m/>
    <x v="0"/>
    <n v="80"/>
    <m/>
    <s v="AKUA"/>
    <x v="0"/>
    <n v="1126000"/>
    <n v="63"/>
    <d v="2012-11-15T00:00:00"/>
    <s v="2DA-NOV"/>
    <n v="0"/>
    <x v="1"/>
    <s v="BANCOMER"/>
    <m/>
    <n v="563000"/>
    <n v="225200"/>
    <n v="337800"/>
    <n v="0"/>
    <n v="225200"/>
    <x v="3"/>
    <n v="0.6"/>
    <d v="2012-03-14T00:00:00"/>
    <d v="2012-03-14T00:00:00"/>
    <d v="2012-03-14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5"/>
    <s v="PTA NORTE "/>
    <s v="020306"/>
    <n v="2"/>
    <n v="3"/>
    <n v="6"/>
    <s v="ESTRELLA VIAJERA"/>
    <m/>
    <x v="0"/>
    <n v="80"/>
    <m/>
    <s v="AKUA"/>
    <x v="0"/>
    <n v="1126000"/>
    <n v="64"/>
    <d v="2012-11-15T00:00:00"/>
    <s v="2DA-NOV"/>
    <n v="0"/>
    <x v="1"/>
    <s v="BANCOMER"/>
    <m/>
    <n v="563000"/>
    <n v="112600"/>
    <n v="450400"/>
    <n v="0"/>
    <n v="112600"/>
    <x v="4"/>
    <n v="0.8"/>
    <d v="2012-07-16T00:00:00"/>
    <d v="2012-07-16T00:00:00"/>
    <d v="2012-07-16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6"/>
    <s v="PTA NORTE "/>
    <s v="020307"/>
    <n v="2"/>
    <n v="3"/>
    <n v="7"/>
    <s v="ESTRELLA VIAJERA"/>
    <m/>
    <x v="0"/>
    <n v="80"/>
    <m/>
    <s v="MARINE"/>
    <x v="0"/>
    <n v="1135000"/>
    <n v="65"/>
    <d v="2012-11-15T00:00:00"/>
    <s v="2DA-NOV"/>
    <n v="0"/>
    <x v="1"/>
    <s v="BANCOMER"/>
    <m/>
    <n v="567500"/>
    <n v="113500"/>
    <n v="454000"/>
    <n v="0"/>
    <n v="113500"/>
    <x v="4"/>
    <n v="0.8"/>
    <d v="2012-06-30T00:00:00"/>
    <d v="2012-06-30T00:00:00"/>
    <d v="2012-06-30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7"/>
    <s v="PTA NORTE "/>
    <s v="020308"/>
    <n v="2"/>
    <n v="3"/>
    <n v="8"/>
    <s v="TARRAGONA"/>
    <m/>
    <x v="0"/>
    <n v="101.45"/>
    <m/>
    <s v="MARINE"/>
    <x v="0"/>
    <n v="1216510"/>
    <n v="66"/>
    <d v="2012-11-30T00:00:00"/>
    <s v="2DA-NOV"/>
    <n v="0"/>
    <x v="1"/>
    <s v="BANCOMER"/>
    <m/>
    <n v="608255"/>
    <n v="121651"/>
    <n v="486604"/>
    <n v="0"/>
    <n v="121651"/>
    <x v="4"/>
    <n v="0.8"/>
    <d v="2012-06-15T00:00:00"/>
    <d v="2012-06-15T00:00:00"/>
    <d v="2012-06-15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4055.0333333333333"/>
    <n v="4055.0333333333333"/>
    <n v="4055.0333333333333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8"/>
    <s v="PTA NORTE "/>
    <s v="020309"/>
    <n v="2"/>
    <n v="3"/>
    <n v="9"/>
    <s v="TARRAGONA"/>
    <m/>
    <x v="0"/>
    <n v="88.497"/>
    <m/>
    <s v="AKUA"/>
    <x v="0"/>
    <n v="1158288.6000000001"/>
    <n v="67"/>
    <d v="2012-11-30T00:00:00"/>
    <s v="2DA-NOV"/>
    <n v="0"/>
    <x v="1"/>
    <s v="BANCOMER"/>
    <m/>
    <n v="579144.30000000005"/>
    <n v="115828.86000000002"/>
    <n v="463315.44000000006"/>
    <n v="0"/>
    <n v="115828.86000000002"/>
    <x v="4"/>
    <n v="0.8"/>
    <d v="2012-06-01T00:00:00"/>
    <d v="2012-06-01T00:00:00"/>
    <d v="2012-06-01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860.962"/>
    <n v="3860.962"/>
    <n v="3860.962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9"/>
    <s v="PTA NORTE "/>
    <s v="020310"/>
    <n v="2"/>
    <n v="3"/>
    <n v="10"/>
    <s v="TARRAGONA"/>
    <m/>
    <x v="0"/>
    <n v="92.209000000000003"/>
    <m/>
    <s v="AKUA"/>
    <x v="0"/>
    <n v="1172394.2"/>
    <n v="68"/>
    <d v="2012-11-30T00:00:00"/>
    <s v="2DA-NOV"/>
    <n v="0"/>
    <x v="1"/>
    <s v="BANCOMER"/>
    <m/>
    <n v="586197.1"/>
    <n v="117239.42"/>
    <n v="468957.68"/>
    <n v="0"/>
    <n v="117239.42"/>
    <x v="4"/>
    <n v="0.8"/>
    <d v="2012-06-07T00:00:00"/>
    <d v="2012-06-07T00:00:00"/>
    <d v="2012-06-0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907.9806666666664"/>
    <n v="3907.9806666666664"/>
    <n v="3907.9806666666664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0"/>
    <s v="PTA NORTE "/>
    <s v="020311"/>
    <n v="2"/>
    <n v="3"/>
    <n v="11"/>
    <s v="ESTRELLA VIAJERA"/>
    <m/>
    <x v="0"/>
    <n v="80"/>
    <m/>
    <s v="AKUA"/>
    <x v="0"/>
    <n v="1126000"/>
    <n v="69"/>
    <d v="2012-11-30T00:00:00"/>
    <s v="2DA-NOV"/>
    <n v="0"/>
    <x v="1"/>
    <s v="BANCOMER"/>
    <m/>
    <n v="563000"/>
    <n v="112600"/>
    <n v="450400"/>
    <n v="0"/>
    <n v="112600"/>
    <x v="4"/>
    <n v="0.8"/>
    <d v="2012-06-10T00:00:00"/>
    <d v="2012-06-10T00:00:00"/>
    <d v="2012-06-10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1"/>
    <s v="PTA NORTE "/>
    <s v="020312"/>
    <n v="2"/>
    <n v="3"/>
    <n v="12"/>
    <s v="ESTRELLA VIAJERA"/>
    <m/>
    <x v="0"/>
    <n v="80"/>
    <m/>
    <s v="MARINE"/>
    <x v="0"/>
    <n v="1135000"/>
    <n v="70"/>
    <d v="2012-11-30T00:00:00"/>
    <s v="2DA-NOV"/>
    <n v="0"/>
    <x v="1"/>
    <s v="BANCOMER"/>
    <m/>
    <n v="567500"/>
    <n v="113500"/>
    <n v="454000"/>
    <n v="0"/>
    <n v="113500"/>
    <x v="4"/>
    <n v="0.8"/>
    <d v="2012-06-09T00:00:00"/>
    <d v="2012-06-09T00:00:00"/>
    <d v="2012-06-09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2"/>
    <s v="PTA NORTE "/>
    <s v="020313"/>
    <n v="2"/>
    <n v="3"/>
    <n v="13"/>
    <s v="ESTRELLA VIAJERA"/>
    <m/>
    <x v="0"/>
    <n v="80"/>
    <m/>
    <s v="AKUA"/>
    <x v="0"/>
    <n v="1126000"/>
    <n v="71"/>
    <d v="2012-11-30T00:00:00"/>
    <s v="2DA-NOV"/>
    <n v="0"/>
    <x v="1"/>
    <s v="BANCOMER"/>
    <m/>
    <n v="563000"/>
    <n v="112600"/>
    <n v="450400"/>
    <n v="0"/>
    <n v="112600"/>
    <x v="4"/>
    <n v="0.8"/>
    <d v="2012-05-20T00:00:00"/>
    <d v="2012-05-20T00:00:00"/>
    <d v="2012-05-20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3"/>
    <s v="PTA NORTE "/>
    <s v="020314"/>
    <n v="2"/>
    <n v="3"/>
    <n v="14"/>
    <s v="ESTRELLA VIAJERA"/>
    <m/>
    <x v="0"/>
    <n v="80"/>
    <m/>
    <s v="AKUA"/>
    <x v="0"/>
    <n v="1126000"/>
    <n v="72"/>
    <d v="2012-11-30T00:00:00"/>
    <s v="2DA-NOV"/>
    <n v="0"/>
    <x v="1"/>
    <s v="BANCOMER"/>
    <m/>
    <n v="563000"/>
    <n v="112600"/>
    <n v="450400"/>
    <n v="0"/>
    <n v="112600"/>
    <x v="4"/>
    <n v="0.8"/>
    <d v="2012-03-14T00:00:00"/>
    <d v="2012-03-14T00:00:00"/>
    <d v="2012-03-14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4"/>
    <s v="PTA NORTE "/>
    <s v="020315"/>
    <n v="2"/>
    <n v="3"/>
    <n v="15"/>
    <s v="ESTRELLA VIAJERA"/>
    <m/>
    <x v="0"/>
    <n v="83.161000000000001"/>
    <m/>
    <s v="MARINE"/>
    <x v="0"/>
    <n v="1147011.8"/>
    <n v="73"/>
    <d v="2012-11-30T00:00:00"/>
    <s v="2DA-NOV"/>
    <n v="0"/>
    <x v="1"/>
    <s v="BANCOMER"/>
    <m/>
    <n v="573505.9"/>
    <n v="114701.18000000001"/>
    <n v="458804.72000000003"/>
    <n v="0"/>
    <n v="114701.18000000001"/>
    <x v="4"/>
    <n v="0.8"/>
    <d v="2012-07-16T00:00:00"/>
    <d v="2012-07-16T00:00:00"/>
    <d v="2012-07-16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823.3726666666666"/>
    <n v="3823.3726666666666"/>
    <n v="3823.3726666666666"/>
    <m/>
    <m/>
    <m/>
    <m/>
    <x v="5"/>
    <s v="ND"/>
    <s v="ND"/>
    <s v="ND"/>
    <s v="NA"/>
    <s v=""/>
    <s v="NA"/>
    <s v=""/>
    <s v="NA"/>
    <s v=""/>
    <x v="3"/>
    <s v="NA"/>
    <s v="NA"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5"/>
    <s v="PTA NORTE "/>
    <s v="020401"/>
    <n v="2"/>
    <n v="4"/>
    <n v="1"/>
    <s v="ESTRELLA MARINA"/>
    <m/>
    <x v="0"/>
    <n v="83.037999999999997"/>
    <m/>
    <s v="AKUA"/>
    <x v="0"/>
    <n v="1137544.3999999999"/>
    <n v="74"/>
    <d v="2012-11-30T00:00:00"/>
    <s v="2DA-NOV"/>
    <n v="0"/>
    <x v="1"/>
    <s v="BANCOMER"/>
    <m/>
    <n v="568772.19999999995"/>
    <n v="113754.44"/>
    <n v="455017.75999999995"/>
    <n v="0"/>
    <n v="113754.44"/>
    <x v="4"/>
    <n v="0.8"/>
    <d v="2012-06-30T00:00:00"/>
    <d v="2012-06-30T00:00:00"/>
    <d v="2012-06-30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91.8146666666667"/>
    <n v="3791.8146666666667"/>
    <n v="3791.8146666666667"/>
    <m/>
    <m/>
    <m/>
    <m/>
    <x v="5"/>
    <s v="ND"/>
    <s v="ND"/>
    <s v="ND"/>
    <s v="NA"/>
    <s v=""/>
    <s v="NA"/>
    <s v=""/>
    <s v="NA"/>
    <s v=""/>
    <x v="3"/>
    <s v="NA"/>
    <s v="NA"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6"/>
    <s v="PTA NORTE "/>
    <s v="020402"/>
    <n v="2"/>
    <n v="4"/>
    <n v="2"/>
    <s v="ESTRELLA MARINA"/>
    <m/>
    <x v="0"/>
    <n v="80"/>
    <m/>
    <s v="AKUA"/>
    <x v="0"/>
    <n v="1126000"/>
    <n v="75"/>
    <d v="2012-11-30T00:00:00"/>
    <s v="2DA-NOV"/>
    <n v="0"/>
    <x v="1"/>
    <s v="BANCOMER"/>
    <m/>
    <n v="563000"/>
    <n v="444770"/>
    <n v="118230"/>
    <n v="0"/>
    <n v="444770"/>
    <x v="5"/>
    <n v="0.19999999999999996"/>
    <m/>
    <m/>
    <m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10"/>
    <x v="10"/>
    <x v="1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7"/>
    <s v="PTA NORTE "/>
    <s v="020403"/>
    <n v="2"/>
    <n v="4"/>
    <n v="3"/>
    <s v="ESTRELLA MARINA"/>
    <m/>
    <x v="0"/>
    <n v="80"/>
    <m/>
    <s v="MARINE"/>
    <x v="0"/>
    <n v="1135000"/>
    <n v="76"/>
    <d v="2012-11-30T00:00:00"/>
    <s v="2DA-NOV"/>
    <n v="0"/>
    <x v="1"/>
    <s v="BANCOMER"/>
    <m/>
    <n v="567500"/>
    <n v="448325"/>
    <n v="119175"/>
    <n v="0"/>
    <n v="448325"/>
    <x v="5"/>
    <n v="0.19999999999999996"/>
    <m/>
    <m/>
    <m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10"/>
    <x v="10"/>
    <x v="1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8"/>
    <s v="PTA NORTE "/>
    <s v="020404"/>
    <n v="2"/>
    <n v="4"/>
    <n v="4"/>
    <s v="ESTRELLA MARINA"/>
    <m/>
    <x v="0"/>
    <n v="80"/>
    <m/>
    <s v="AKUA"/>
    <x v="0"/>
    <n v="1126000"/>
    <n v="77"/>
    <d v="2012-11-30T00:00:00"/>
    <s v="2DA-NOV"/>
    <n v="0"/>
    <x v="1"/>
    <s v="BANCOMER"/>
    <m/>
    <n v="563000"/>
    <n v="444770"/>
    <n v="118230"/>
    <n v="0"/>
    <n v="444770"/>
    <x v="5"/>
    <n v="0.19999999999999996"/>
    <m/>
    <m/>
    <m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10"/>
    <x v="10"/>
    <x v="1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9"/>
    <s v="PTA NORTE "/>
    <s v="020405"/>
    <n v="2"/>
    <n v="4"/>
    <n v="5"/>
    <s v="ESTRELLA MARINA"/>
    <m/>
    <x v="0"/>
    <n v="80"/>
    <m/>
    <s v="AKUA"/>
    <x v="0"/>
    <n v="1126000"/>
    <n v="78"/>
    <d v="2012-11-30T00:00:00"/>
    <s v="2DA-NOV"/>
    <n v="0"/>
    <x v="1"/>
    <s v="BANCOMER"/>
    <m/>
    <n v="563000"/>
    <n v="444770"/>
    <n v="118230"/>
    <n v="0"/>
    <n v="444770"/>
    <x v="5"/>
    <n v="0.19999999999999996"/>
    <m/>
    <m/>
    <m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10"/>
    <x v="10"/>
    <x v="1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0"/>
    <s v="PTA NORTE "/>
    <s v="020406"/>
    <n v="2"/>
    <n v="4"/>
    <n v="6"/>
    <s v="ESTRELLA MARINA"/>
    <m/>
    <x v="0"/>
    <n v="80"/>
    <m/>
    <s v="MARINE"/>
    <x v="0"/>
    <n v="1135000"/>
    <n v="79"/>
    <d v="2012-11-30T00:00:00"/>
    <s v="2DA-NOV"/>
    <n v="0"/>
    <x v="1"/>
    <s v="BANCOMER"/>
    <m/>
    <n v="567500"/>
    <n v="448325"/>
    <n v="119175"/>
    <n v="0"/>
    <n v="448325"/>
    <x v="5"/>
    <n v="0.19999999999999996"/>
    <m/>
    <m/>
    <m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10"/>
    <x v="10"/>
    <x v="1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1"/>
    <s v="PTA NORTE "/>
    <s v="020407"/>
    <n v="2"/>
    <n v="4"/>
    <n v="7"/>
    <s v="ESTRELLA MARINA"/>
    <m/>
    <x v="0"/>
    <n v="80"/>
    <m/>
    <s v="AKUA"/>
    <x v="0"/>
    <n v="1126000"/>
    <n v="80"/>
    <d v="2012-11-30T00:00:00"/>
    <s v="2DA-NOV"/>
    <n v="0"/>
    <x v="1"/>
    <s v="BANCOMER"/>
    <m/>
    <n v="563000"/>
    <n v="444770"/>
    <n v="118230"/>
    <n v="0"/>
    <n v="444770"/>
    <x v="5"/>
    <n v="0.19999999999999996"/>
    <m/>
    <m/>
    <m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10"/>
    <x v="10"/>
    <x v="1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2"/>
    <s v="PTA NORTE "/>
    <s v="020408"/>
    <n v="2"/>
    <n v="4"/>
    <n v="8"/>
    <s v="ESTRELLA MARINA"/>
    <m/>
    <x v="0"/>
    <n v="80"/>
    <m/>
    <s v="MARINE"/>
    <x v="0"/>
    <n v="1135000"/>
    <n v="81"/>
    <d v="2012-11-30T00:00:00"/>
    <s v="2DA-NOV"/>
    <n v="0"/>
    <x v="1"/>
    <s v="BANCOMER"/>
    <m/>
    <n v="567500"/>
    <n v="448325"/>
    <n v="119175"/>
    <n v="0"/>
    <n v="448325"/>
    <x v="5"/>
    <n v="0.19999999999999996"/>
    <m/>
    <m/>
    <m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10"/>
    <x v="10"/>
    <x v="1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3"/>
    <s v="PTA NORTE "/>
    <s v="020409"/>
    <n v="2"/>
    <n v="4"/>
    <n v="9"/>
    <s v="ESTRELLA MARINA"/>
    <m/>
    <x v="0"/>
    <n v="80"/>
    <m/>
    <s v="AKUA"/>
    <x v="0"/>
    <n v="1126000"/>
    <n v="82"/>
    <d v="2012-11-30T00:00:00"/>
    <s v="2DA-NOV"/>
    <n v="0"/>
    <x v="1"/>
    <s v="BANCOMER"/>
    <m/>
    <n v="563000"/>
    <n v="444770"/>
    <n v="118230"/>
    <n v="0"/>
    <n v="444770"/>
    <x v="5"/>
    <n v="0.19999999999999996"/>
    <m/>
    <m/>
    <m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10"/>
    <x v="10"/>
    <x v="1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4"/>
    <s v="PTA NORTE "/>
    <s v="020410"/>
    <n v="2"/>
    <n v="4"/>
    <n v="10"/>
    <s v="ESTRELLA MARINA"/>
    <m/>
    <x v="0"/>
    <n v="80"/>
    <m/>
    <s v="AKUA"/>
    <x v="0"/>
    <n v="1126000"/>
    <n v="83"/>
    <d v="2012-11-30T00:00:00"/>
    <s v="2DA-NOV"/>
    <n v="0"/>
    <x v="1"/>
    <s v="BANCOMER"/>
    <m/>
    <n v="563000"/>
    <n v="444770"/>
    <n v="118230"/>
    <n v="0"/>
    <n v="444770"/>
    <x v="5"/>
    <n v="0.19999999999999996"/>
    <m/>
    <m/>
    <m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10"/>
    <x v="10"/>
    <x v="1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5"/>
    <s v="PTA NORTE "/>
    <s v="020411"/>
    <n v="2"/>
    <n v="4"/>
    <n v="11"/>
    <s v="ESTRELLA MARINA"/>
    <m/>
    <x v="0"/>
    <n v="80"/>
    <m/>
    <s v="MARINE"/>
    <x v="0"/>
    <n v="1135000"/>
    <n v="84"/>
    <d v="2012-11-30T00:00:00"/>
    <s v="2DA-NOV"/>
    <n v="0"/>
    <x v="1"/>
    <s v="BANCOMER"/>
    <m/>
    <n v="567500"/>
    <n v="448325"/>
    <n v="119175"/>
    <n v="0"/>
    <n v="448325"/>
    <x v="5"/>
    <n v="0.19999999999999996"/>
    <d v="2012-06-07T00:00:00"/>
    <d v="2012-06-07T00:00:00"/>
    <d v="2012-06-0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6"/>
    <s v="PTA NORTE "/>
    <s v="020412"/>
    <n v="2"/>
    <n v="4"/>
    <n v="12"/>
    <s v="ESTRELLA MARINA"/>
    <m/>
    <x v="0"/>
    <n v="80"/>
    <m/>
    <s v="AKUA"/>
    <x v="0"/>
    <n v="1126000"/>
    <n v="85"/>
    <d v="2012-11-30T00:00:00"/>
    <s v="2DA-NOV"/>
    <n v="0"/>
    <x v="1"/>
    <s v="BANCOMER"/>
    <m/>
    <n v="563000"/>
    <n v="444770"/>
    <n v="118230"/>
    <n v="0"/>
    <n v="444770"/>
    <x v="5"/>
    <n v="0.19999999999999996"/>
    <d v="2012-06-10T00:00:00"/>
    <d v="2012-06-10T00:00:00"/>
    <d v="2012-06-10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7"/>
    <s v="PTA NORTE "/>
    <s v="020413"/>
    <n v="2"/>
    <n v="4"/>
    <n v="13"/>
    <s v="ESTRELLA MARINA"/>
    <m/>
    <x v="0"/>
    <n v="80"/>
    <m/>
    <s v="AKUA"/>
    <x v="0"/>
    <n v="1126000"/>
    <n v="86"/>
    <d v="2012-11-30T00:00:00"/>
    <s v="2DA-NOV"/>
    <n v="0"/>
    <x v="1"/>
    <s v="BANCOMER"/>
    <m/>
    <n v="563000"/>
    <n v="444770"/>
    <n v="118230"/>
    <n v="0"/>
    <n v="444770"/>
    <x v="5"/>
    <n v="0.19999999999999996"/>
    <d v="2012-06-09T00:00:00"/>
    <d v="2012-06-09T00:00:00"/>
    <d v="2012-06-09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8"/>
    <s v="PTA NORTE "/>
    <s v="020414"/>
    <n v="2"/>
    <n v="4"/>
    <n v="14"/>
    <s v="ESTRELLA MARINA"/>
    <m/>
    <x v="0"/>
    <n v="80"/>
    <m/>
    <s v="MARINE"/>
    <x v="0"/>
    <n v="1135000"/>
    <n v="87"/>
    <d v="2012-11-30T00:00:00"/>
    <s v="2DA-NOV"/>
    <n v="0"/>
    <x v="1"/>
    <s v="BANCOMER"/>
    <m/>
    <n v="567500"/>
    <n v="448325"/>
    <n v="119175"/>
    <n v="0"/>
    <n v="448325"/>
    <x v="5"/>
    <n v="0.19999999999999996"/>
    <d v="2012-05-20T00:00:00"/>
    <d v="2012-05-20T00:00:00"/>
    <d v="2012-05-20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9"/>
    <s v="PTA NORTE "/>
    <s v="020415"/>
    <n v="2"/>
    <n v="4"/>
    <n v="15"/>
    <s v="ESTRELLA MARINA"/>
    <m/>
    <x v="0"/>
    <n v="80"/>
    <m/>
    <s v="AKUA"/>
    <x v="0"/>
    <n v="1126000"/>
    <n v="88"/>
    <d v="2012-11-30T00:00:00"/>
    <s v="2DA-NOV"/>
    <n v="0"/>
    <x v="1"/>
    <s v="BANCOMER"/>
    <m/>
    <n v="563000"/>
    <n v="28150"/>
    <n v="534850"/>
    <n v="0"/>
    <n v="28150"/>
    <x v="6"/>
    <n v="0.95"/>
    <d v="2012-07-06T00:00:00"/>
    <d v="2012-07-06T00:00:00"/>
    <d v="2012-07-06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5"/>
    <x v="5"/>
    <x v="5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0"/>
    <s v="PTA NORTE "/>
    <s v="020416"/>
    <n v="2"/>
    <n v="4"/>
    <n v="16"/>
    <s v="ESTRELLA MARINA"/>
    <m/>
    <x v="0"/>
    <n v="80"/>
    <m/>
    <s v="AKUA"/>
    <x v="0"/>
    <n v="1126000"/>
    <n v="89"/>
    <d v="2012-11-30T00:00:00"/>
    <s v="2DA-NOV"/>
    <n v="0"/>
    <x v="1"/>
    <s v="BANCOMER"/>
    <m/>
    <n v="563000"/>
    <n v="28150"/>
    <n v="534850"/>
    <n v="0"/>
    <n v="28150"/>
    <x v="6"/>
    <n v="0.95"/>
    <d v="2012-03-14T00:00:00"/>
    <d v="2012-03-14T00:00:00"/>
    <d v="2012-03-14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1"/>
    <s v="PTA NORTE "/>
    <s v="020417"/>
    <n v="2"/>
    <n v="4"/>
    <n v="17"/>
    <s v="ESTRELLA MARINA"/>
    <m/>
    <x v="0"/>
    <n v="82.852999999999994"/>
    <m/>
    <s v="MARINE"/>
    <x v="0"/>
    <n v="1145841.3999999999"/>
    <n v="90"/>
    <d v="2012-11-30T00:00:00"/>
    <s v="2DA-NOV"/>
    <n v="0"/>
    <x v="1"/>
    <s v="BANCOMER"/>
    <m/>
    <n v="572920.69999999995"/>
    <n v="28646.035"/>
    <n v="544274.66499999992"/>
    <n v="0"/>
    <n v="28646.035"/>
    <x v="6"/>
    <n v="0.95"/>
    <d v="2012-07-16T00:00:00"/>
    <d v="2012-07-16T00:00:00"/>
    <d v="2012-07-16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819.471333333333"/>
    <n v="3819.471333333333"/>
    <n v="3819.471333333333"/>
    <m/>
    <m/>
    <m/>
    <m/>
    <x v="5"/>
    <s v="ND"/>
    <s v="ND"/>
    <s v="ND"/>
    <s v="NA"/>
    <s v=""/>
    <s v="NA"/>
    <s v=""/>
    <s v="NA"/>
    <s v=""/>
    <x v="3"/>
    <s v="NA"/>
    <s v="NA"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2"/>
    <s v="PTA NORTE "/>
    <s v="020501"/>
    <n v="2"/>
    <n v="5"/>
    <n v="1"/>
    <s v="ESTRELLA FUGAZ"/>
    <m/>
    <x v="0"/>
    <n v="82.73"/>
    <m/>
    <s v="MARINE"/>
    <x v="0"/>
    <n v="1145374"/>
    <n v="91"/>
    <d v="2012-12-15T00:00:00"/>
    <s v="2DA-DIC"/>
    <n v="0"/>
    <x v="1"/>
    <s v="BANCOMER"/>
    <m/>
    <n v="572687"/>
    <n v="28634.350000000002"/>
    <n v="544052.65"/>
    <n v="0"/>
    <n v="28634.350000000002"/>
    <x v="6"/>
    <n v="0.95"/>
    <d v="2012-06-30T00:00:00"/>
    <d v="2012-06-30T00:00:00"/>
    <d v="2012-06-30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817.9133333333334"/>
    <n v="3817.9133333333334"/>
    <n v="3817.9133333333334"/>
    <m/>
    <m/>
    <m/>
    <m/>
    <x v="5"/>
    <s v="ND"/>
    <s v="ND"/>
    <s v="ND"/>
    <s v="NA"/>
    <s v=""/>
    <s v="NA"/>
    <s v=""/>
    <s v="NA"/>
    <s v=""/>
    <x v="3"/>
    <s v="NA"/>
    <s v="NA"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3"/>
    <s v="PTA NORTE "/>
    <s v="020502"/>
    <n v="2"/>
    <n v="5"/>
    <n v="2"/>
    <s v="ESTRELLA FUGAZ"/>
    <m/>
    <x v="0"/>
    <n v="80"/>
    <m/>
    <s v="AKUA"/>
    <x v="0"/>
    <n v="1126000"/>
    <n v="92"/>
    <d v="2012-12-15T00:00:00"/>
    <s v="2DA-DIC"/>
    <n v="0"/>
    <x v="1"/>
    <s v="BANCOMER"/>
    <m/>
    <n v="563000"/>
    <n v="28150"/>
    <n v="534850"/>
    <n v="0"/>
    <n v="28150"/>
    <x v="6"/>
    <n v="0.95"/>
    <d v="2012-06-15T00:00:00"/>
    <d v="2012-06-15T00:00:00"/>
    <d v="2012-06-15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4"/>
    <s v="PTA NORTE "/>
    <s v="020503"/>
    <n v="2"/>
    <n v="5"/>
    <n v="3"/>
    <s v="ESTRELLA FUGAZ"/>
    <m/>
    <x v="0"/>
    <n v="80"/>
    <m/>
    <s v="AKUA"/>
    <x v="0"/>
    <n v="1126000"/>
    <n v="93"/>
    <d v="2012-12-15T00:00:00"/>
    <s v="2DA-DIC"/>
    <n v="0"/>
    <x v="1"/>
    <s v="BANCOMER"/>
    <m/>
    <n v="563000"/>
    <n v="28150"/>
    <n v="534850"/>
    <n v="0"/>
    <n v="28150"/>
    <x v="6"/>
    <n v="0.95"/>
    <d v="2012-06-01T00:00:00"/>
    <d v="2012-06-01T00:00:00"/>
    <d v="2012-06-01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5"/>
    <s v="PTA NORTE "/>
    <s v="020504"/>
    <n v="2"/>
    <n v="5"/>
    <n v="4"/>
    <s v="ESTRELLA FUGAZ"/>
    <m/>
    <x v="0"/>
    <n v="80"/>
    <m/>
    <s v="MARINE"/>
    <x v="0"/>
    <n v="1135000"/>
    <n v="94"/>
    <d v="2012-12-15T00:00:00"/>
    <s v="2DA-DIC"/>
    <n v="0"/>
    <x v="1"/>
    <s v="BANCOMER"/>
    <m/>
    <n v="567500"/>
    <n v="28375"/>
    <n v="539125"/>
    <n v="0"/>
    <n v="28375"/>
    <x v="6"/>
    <n v="0.95"/>
    <d v="2012-06-07T00:00:00"/>
    <d v="2012-06-07T00:00:00"/>
    <d v="2012-06-0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6"/>
    <s v="PTA NORTE "/>
    <s v="020505"/>
    <n v="2"/>
    <n v="5"/>
    <n v="5"/>
    <s v="ESTRELLA FUGAZ"/>
    <m/>
    <x v="0"/>
    <n v="80"/>
    <m/>
    <s v="AKUA"/>
    <x v="0"/>
    <n v="1126000"/>
    <n v="95"/>
    <d v="2012-12-15T00:00:00"/>
    <s v="2DA-DIC"/>
    <n v="0"/>
    <x v="1"/>
    <s v="BANCOMER"/>
    <m/>
    <n v="563000"/>
    <n v="28150"/>
    <n v="534850"/>
    <n v="0"/>
    <n v="28150"/>
    <x v="6"/>
    <n v="0.95"/>
    <d v="2012-06-10T00:00:00"/>
    <d v="2012-06-10T00:00:00"/>
    <d v="2012-06-10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7"/>
    <s v="PTA NORTE "/>
    <s v="020506"/>
    <n v="2"/>
    <n v="5"/>
    <n v="6"/>
    <s v="ESTRELLA FUGAZ"/>
    <m/>
    <x v="0"/>
    <n v="80"/>
    <m/>
    <s v="AKUA"/>
    <x v="0"/>
    <n v="1126000"/>
    <n v="96"/>
    <d v="2012-12-15T00:00:00"/>
    <s v="2DA-DIC"/>
    <n v="0"/>
    <x v="1"/>
    <s v="BANCOMER"/>
    <m/>
    <n v="563000"/>
    <n v="28150"/>
    <n v="534850"/>
    <n v="0"/>
    <n v="28150"/>
    <x v="6"/>
    <n v="0.95"/>
    <d v="2012-06-09T00:00:00"/>
    <d v="2012-06-09T00:00:00"/>
    <d v="2012-06-09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8"/>
    <s v="PTA NORTE "/>
    <s v="020507"/>
    <n v="2"/>
    <n v="5"/>
    <n v="7"/>
    <s v="ESTRELLA FUGAZ"/>
    <m/>
    <x v="0"/>
    <n v="80"/>
    <m/>
    <s v="MARINE"/>
    <x v="0"/>
    <n v="1135000"/>
    <n v="97"/>
    <d v="2012-12-15T00:00:00"/>
    <s v="2DA-DIC"/>
    <n v="0"/>
    <x v="1"/>
    <s v="BANCOMER"/>
    <m/>
    <n v="567500"/>
    <n v="28375"/>
    <n v="539125"/>
    <n v="0"/>
    <n v="28375"/>
    <x v="6"/>
    <n v="0.95"/>
    <d v="2012-05-20T00:00:00"/>
    <d v="2012-05-20T00:00:00"/>
    <d v="2012-05-20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9"/>
    <s v="PTA NORTE "/>
    <s v="020508"/>
    <n v="2"/>
    <n v="5"/>
    <n v="8"/>
    <s v="ESTRELLA FUGAZ"/>
    <m/>
    <x v="0"/>
    <n v="80"/>
    <m/>
    <s v="AKUA"/>
    <x v="0"/>
    <n v="1126000"/>
    <n v="98"/>
    <d v="2012-12-15T00:00:00"/>
    <s v="2DA-DIC"/>
    <n v="0"/>
    <x v="1"/>
    <s v="BANCOMER"/>
    <m/>
    <n v="563000"/>
    <n v="28150"/>
    <n v="534850"/>
    <n v="0"/>
    <n v="28150"/>
    <x v="6"/>
    <n v="0.95"/>
    <d v="2012-07-06T00:00:00"/>
    <d v="2012-07-06T00:00:00"/>
    <d v="2012-07-06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5"/>
    <x v="5"/>
    <x v="5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0"/>
    <s v="PTA NORTE "/>
    <s v="020509"/>
    <n v="2"/>
    <n v="5"/>
    <n v="9"/>
    <s v="ESTRELLA FUGAZ"/>
    <m/>
    <x v="0"/>
    <n v="80"/>
    <m/>
    <s v="AKUA"/>
    <x v="0"/>
    <n v="1126000"/>
    <n v="99"/>
    <d v="2012-12-15T00:00:00"/>
    <s v="2DA-DIC"/>
    <n v="0"/>
    <x v="1"/>
    <s v="BANCOMER"/>
    <m/>
    <n v="563000"/>
    <n v="28150"/>
    <n v="534850"/>
    <n v="0"/>
    <n v="28150"/>
    <x v="6"/>
    <n v="0.95"/>
    <d v="2012-03-14T00:00:00"/>
    <d v="2012-03-14T00:00:00"/>
    <d v="2012-03-14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1"/>
    <s v="PTA NORTE "/>
    <s v="020510"/>
    <n v="2"/>
    <n v="5"/>
    <n v="10"/>
    <s v="ESTRELLA FUGAZ"/>
    <m/>
    <x v="0"/>
    <n v="94.759"/>
    <m/>
    <s v="MARINE"/>
    <x v="0"/>
    <n v="1191084.2"/>
    <n v="100"/>
    <d v="2012-12-15T00:00:00"/>
    <s v="2DA-DIC"/>
    <n v="0"/>
    <x v="1"/>
    <s v="BANCOMER"/>
    <m/>
    <n v="595542.1"/>
    <n v="285860.20799999998"/>
    <n v="309681.89199999999"/>
    <n v="0"/>
    <n v="285860.20799999998"/>
    <x v="7"/>
    <n v="0.5"/>
    <d v="2012-07-16T00:00:00"/>
    <d v="2012-07-16T00:00:00"/>
    <d v="2012-07-16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970.280666666667"/>
    <n v="3970.280666666667"/>
    <n v="3970.280666666667"/>
    <m/>
    <m/>
    <m/>
    <m/>
    <x v="5"/>
    <s v="ND"/>
    <s v="ND"/>
    <s v="ND"/>
    <s v="NA"/>
    <s v=""/>
    <s v="NA"/>
    <s v=""/>
    <s v="NA"/>
    <s v=""/>
    <x v="3"/>
    <s v="NA"/>
    <s v="NA"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2"/>
    <s v="PTA NORTE "/>
    <s v="020511"/>
    <n v="2"/>
    <n v="5"/>
    <n v="11"/>
    <s v="ESTRELLA FUGAZ"/>
    <m/>
    <x v="0"/>
    <n v="80"/>
    <m/>
    <s v="MARINE"/>
    <x v="0"/>
    <n v="1135000"/>
    <n v="101"/>
    <d v="2012-12-15T00:00:00"/>
    <s v="2DA-DIC"/>
    <n v="0"/>
    <x v="1"/>
    <s v="BANCOMER"/>
    <m/>
    <n v="567500"/>
    <n v="272400"/>
    <n v="295100"/>
    <n v="0"/>
    <n v="272400"/>
    <x v="7"/>
    <n v="0.5"/>
    <d v="2012-06-30T00:00:00"/>
    <d v="2012-06-30T00:00:00"/>
    <d v="2012-06-30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3"/>
    <s v="PTA NORTE "/>
    <s v="020512"/>
    <n v="2"/>
    <n v="5"/>
    <n v="12"/>
    <s v="ESTRELLA FUGAZ"/>
    <m/>
    <x v="0"/>
    <n v="80"/>
    <m/>
    <s v="AKUA"/>
    <x v="0"/>
    <n v="1126000"/>
    <n v="102"/>
    <d v="2012-12-15T00:00:00"/>
    <s v="2DA-DIC"/>
    <n v="0"/>
    <x v="1"/>
    <s v="BANCOMER"/>
    <m/>
    <n v="563000"/>
    <n v="270240"/>
    <n v="292760"/>
    <n v="0"/>
    <n v="270240"/>
    <x v="7"/>
    <n v="0.5"/>
    <d v="2012-06-15T00:00:00"/>
    <d v="2012-06-15T00:00:00"/>
    <d v="2012-06-15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4"/>
    <s v="PTA NORTE "/>
    <s v="020513"/>
    <n v="2"/>
    <n v="5"/>
    <n v="13"/>
    <s v="ESTRELLA FUGAZ"/>
    <m/>
    <x v="0"/>
    <n v="80"/>
    <m/>
    <s v="AKUA"/>
    <x v="0"/>
    <n v="1126000"/>
    <n v="103"/>
    <d v="2012-12-15T00:00:00"/>
    <s v="2DA-DIC"/>
    <n v="0"/>
    <x v="1"/>
    <s v="BANCOMER"/>
    <m/>
    <n v="563000"/>
    <n v="270240"/>
    <n v="292760"/>
    <n v="0"/>
    <n v="270240"/>
    <x v="7"/>
    <n v="0.5"/>
    <d v="2012-06-01T00:00:00"/>
    <d v="2012-06-01T00:00:00"/>
    <d v="2012-06-01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5"/>
    <s v="PTA NORTE "/>
    <s v="020514"/>
    <n v="2"/>
    <n v="5"/>
    <n v="14"/>
    <s v="ESTRELLA FUGAZ"/>
    <m/>
    <x v="0"/>
    <n v="80"/>
    <m/>
    <s v="MARINE"/>
    <x v="0"/>
    <n v="1135000"/>
    <n v="104"/>
    <d v="2012-12-15T00:00:00"/>
    <s v="2DA-DIC"/>
    <n v="0"/>
    <x v="1"/>
    <s v="BANCOMER"/>
    <m/>
    <n v="567500"/>
    <n v="272400"/>
    <n v="295100"/>
    <n v="0"/>
    <n v="272400"/>
    <x v="7"/>
    <n v="0.5"/>
    <d v="2012-06-07T00:00:00"/>
    <d v="2012-06-07T00:00:00"/>
    <d v="2012-06-0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6"/>
    <s v="PTA NORTE "/>
    <s v="020515"/>
    <n v="2"/>
    <n v="5"/>
    <n v="15"/>
    <s v="ESTRELLA FUGAZ"/>
    <m/>
    <x v="0"/>
    <n v="80"/>
    <m/>
    <s v="AKUA"/>
    <x v="0"/>
    <n v="1126000"/>
    <n v="105"/>
    <d v="2012-12-15T00:00:00"/>
    <s v="2DA-DIC"/>
    <n v="0"/>
    <x v="1"/>
    <s v="BANCOMER"/>
    <m/>
    <n v="563000"/>
    <n v="270240"/>
    <n v="292760"/>
    <n v="0"/>
    <n v="270240"/>
    <x v="7"/>
    <n v="0.5"/>
    <d v="2012-06-10T00:00:00"/>
    <d v="2012-06-10T00:00:00"/>
    <d v="2012-06-10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7"/>
    <s v="PTA NORTE "/>
    <s v="020516"/>
    <n v="2"/>
    <n v="5"/>
    <n v="16"/>
    <s v="ESTRELLA FUGAZ"/>
    <m/>
    <x v="0"/>
    <n v="80"/>
    <m/>
    <s v="AKUA"/>
    <x v="0"/>
    <n v="1126000"/>
    <n v="106"/>
    <d v="2012-12-15T00:00:00"/>
    <s v="2DA-DIC"/>
    <n v="0"/>
    <x v="1"/>
    <s v="BANCOMER"/>
    <m/>
    <n v="563000"/>
    <n v="270240"/>
    <n v="292760"/>
    <n v="0"/>
    <n v="270240"/>
    <x v="7"/>
    <n v="0.5"/>
    <d v="2012-06-09T00:00:00"/>
    <d v="2012-06-09T00:00:00"/>
    <d v="2012-06-09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8"/>
    <s v="PTA NORTE "/>
    <s v="020517"/>
    <n v="2"/>
    <n v="5"/>
    <n v="17"/>
    <s v="ESTRELLA FUGAZ"/>
    <m/>
    <x v="0"/>
    <n v="80"/>
    <m/>
    <s v="MARINE"/>
    <x v="0"/>
    <n v="1135000"/>
    <n v="107"/>
    <d v="2012-12-15T00:00:00"/>
    <s v="2DA-DIC"/>
    <n v="0"/>
    <x v="1"/>
    <s v="BANCOMER"/>
    <m/>
    <n v="567500"/>
    <n v="272400"/>
    <n v="295100"/>
    <n v="0"/>
    <n v="272400"/>
    <x v="7"/>
    <n v="0.5"/>
    <d v="2012-03-14T00:00:00"/>
    <d v="2012-03-14T00:00:00"/>
    <d v="2012-03-14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9"/>
    <s v="PTA NORTE "/>
    <s v="020518"/>
    <n v="2"/>
    <n v="5"/>
    <n v="18"/>
    <s v="ESTRELLA FUGAZ"/>
    <m/>
    <x v="0"/>
    <n v="80"/>
    <m/>
    <s v="AKUA"/>
    <x v="0"/>
    <n v="1126000"/>
    <n v="108"/>
    <d v="2012-12-15T00:00:00"/>
    <s v="2DA-DIC"/>
    <n v="0"/>
    <x v="1"/>
    <s v="BANCOMER"/>
    <m/>
    <n v="563000"/>
    <n v="270240"/>
    <n v="292760"/>
    <n v="0"/>
    <n v="270240"/>
    <x v="7"/>
    <n v="0.5"/>
    <d v="2012-07-16T00:00:00"/>
    <d v="2012-07-16T00:00:00"/>
    <d v="2012-07-16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0"/>
    <s v="PTA NORTE "/>
    <s v="020519"/>
    <n v="2"/>
    <n v="5"/>
    <n v="19"/>
    <s v="ESTRELLA FUGAZ"/>
    <m/>
    <x v="0"/>
    <n v="80"/>
    <m/>
    <s v="AKUA"/>
    <x v="0"/>
    <n v="1126000"/>
    <n v="109"/>
    <d v="2012-12-15T00:00:00"/>
    <s v="2DA-DIC"/>
    <n v="0"/>
    <x v="1"/>
    <s v="BANCOMER"/>
    <m/>
    <n v="563000"/>
    <n v="563000"/>
    <n v="0"/>
    <n v="0"/>
    <n v="563000"/>
    <x v="8"/>
    <n v="0"/>
    <d v="2012-06-30T00:00:00"/>
    <d v="2012-06-30T00:00:00"/>
    <d v="2012-06-30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1"/>
    <s v="PTA NORTE "/>
    <s v="020520"/>
    <n v="2"/>
    <n v="5"/>
    <n v="20"/>
    <s v="ESTRELLA FUGAZ"/>
    <m/>
    <x v="0"/>
    <n v="82.545000000000002"/>
    <m/>
    <s v="MARINE"/>
    <x v="0"/>
    <n v="1144671"/>
    <n v="110"/>
    <d v="2012-12-15T00:00:00"/>
    <s v="2DA-DIC"/>
    <n v="0"/>
    <x v="1"/>
    <s v="BANCOMER"/>
    <m/>
    <n v="572335.5"/>
    <n v="572335.5"/>
    <n v="0"/>
    <n v="0"/>
    <n v="572335.5"/>
    <x v="8"/>
    <n v="0"/>
    <d v="2012-06-15T00:00:00"/>
    <d v="2012-06-15T00:00:00"/>
    <d v="2012-06-15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815.57"/>
    <n v="3815.57"/>
    <n v="3815.57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2"/>
    <s v="PTA NORTE "/>
    <s v="020601"/>
    <n v="2"/>
    <n v="6"/>
    <n v="1"/>
    <s v="ESTRELLA POLAR"/>
    <m/>
    <x v="0"/>
    <n v="82.421000000000006"/>
    <m/>
    <s v="MARINE"/>
    <x v="1"/>
    <n v="1144199.8"/>
    <n v="111"/>
    <d v="2012-09-30T00:00:00"/>
    <s v="2DA-SEP"/>
    <n v="0.1"/>
    <x v="1"/>
    <s v="BANCOMER"/>
    <m/>
    <n v="572099.9"/>
    <n v="572099.9"/>
    <n v="0"/>
    <n v="0"/>
    <n v="572099.9"/>
    <x v="8"/>
    <n v="0"/>
    <d v="2012-06-01T00:00:00"/>
    <d v="2012-06-01T00:00:00"/>
    <d v="2012-06-01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813.9993333333337"/>
    <n v="3813.9993333333337"/>
    <n v="3813.9993333333337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3"/>
    <s v="PTA NORTE "/>
    <s v="020602"/>
    <n v="2"/>
    <n v="6"/>
    <n v="2"/>
    <s v="ESTRELLA POLAR"/>
    <m/>
    <x v="0"/>
    <n v="80"/>
    <m/>
    <s v="AKUA"/>
    <x v="1"/>
    <n v="1126000"/>
    <n v="112"/>
    <d v="2012-09-30T00:00:00"/>
    <s v="2DA-SEP"/>
    <n v="0.1"/>
    <x v="1"/>
    <s v="BANCOMER"/>
    <m/>
    <n v="563000"/>
    <n v="563000"/>
    <n v="0"/>
    <n v="0"/>
    <n v="563000"/>
    <x v="8"/>
    <n v="0"/>
    <d v="2012-03-14T00:00:00"/>
    <d v="2012-03-14T00:00:00"/>
    <d v="2012-03-14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4"/>
    <s v="PTA NORTE "/>
    <s v="020603"/>
    <n v="2"/>
    <n v="6"/>
    <n v="3"/>
    <s v="ESTRELLA POLAR"/>
    <m/>
    <x v="0"/>
    <n v="80"/>
    <m/>
    <s v="AKUA"/>
    <x v="1"/>
    <n v="1126000"/>
    <n v="113"/>
    <d v="2012-09-30T00:00:00"/>
    <s v="2DA-SEP"/>
    <n v="0.2"/>
    <x v="1"/>
    <s v="BANCOMER"/>
    <m/>
    <n v="563000"/>
    <n v="563000"/>
    <n v="0"/>
    <n v="0"/>
    <n v="563000"/>
    <x v="8"/>
    <n v="0"/>
    <d v="2012-07-16T00:00:00"/>
    <d v="2012-07-16T00:00:00"/>
    <d v="2012-07-16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5"/>
    <s v="PTA NORTE "/>
    <s v="020604"/>
    <n v="2"/>
    <n v="6"/>
    <n v="4"/>
    <s v="ESTRELLA POLAR"/>
    <m/>
    <x v="0"/>
    <n v="80"/>
    <m/>
    <s v="MARINE"/>
    <x v="1"/>
    <n v="1135000"/>
    <n v="114"/>
    <d v="2012-09-30T00:00:00"/>
    <s v="2DA-SEP"/>
    <n v="0.2"/>
    <x v="1"/>
    <s v="BANCOMER"/>
    <m/>
    <n v="567500"/>
    <n v="567500"/>
    <n v="0"/>
    <n v="0"/>
    <n v="567500"/>
    <x v="8"/>
    <n v="0"/>
    <d v="2012-06-30T00:00:00"/>
    <d v="2012-06-30T00:00:00"/>
    <d v="2012-06-30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6"/>
    <s v="PTA NORTE "/>
    <s v="020605"/>
    <n v="2"/>
    <n v="6"/>
    <n v="5"/>
    <s v="ESTRELLA POLAR"/>
    <m/>
    <x v="0"/>
    <n v="80"/>
    <m/>
    <s v="AKUA"/>
    <x v="1"/>
    <n v="1126000"/>
    <n v="115"/>
    <d v="2012-09-30T00:00:00"/>
    <s v="2DA-SEP"/>
    <n v="0.2"/>
    <x v="1"/>
    <s v="BANCOMER"/>
    <m/>
    <n v="563000"/>
    <n v="563000"/>
    <n v="0"/>
    <n v="0"/>
    <n v="563000"/>
    <x v="8"/>
    <n v="0"/>
    <d v="2012-06-15T00:00:00"/>
    <d v="2012-06-15T00:00:00"/>
    <d v="2012-06-15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7"/>
    <s v="PTA NORTE "/>
    <s v="020606"/>
    <n v="2"/>
    <n v="6"/>
    <n v="6"/>
    <s v="ESTRELLA POLAR"/>
    <m/>
    <x v="0"/>
    <n v="80"/>
    <m/>
    <s v="AKUA"/>
    <x v="1"/>
    <n v="1126000"/>
    <n v="116"/>
    <d v="2012-09-30T00:00:00"/>
    <s v="2DA-SEP"/>
    <n v="0.2"/>
    <x v="1"/>
    <s v="BANCOMER"/>
    <m/>
    <n v="563000"/>
    <n v="563000"/>
    <n v="0"/>
    <n v="0"/>
    <n v="563000"/>
    <x v="8"/>
    <n v="0"/>
    <d v="2012-06-01T00:00:00"/>
    <d v="2012-06-01T00:00:00"/>
    <d v="2012-06-01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8"/>
    <s v="PTA NORTE "/>
    <s v="020607"/>
    <n v="2"/>
    <n v="6"/>
    <n v="7"/>
    <s v="ESTRELLA POLAR"/>
    <m/>
    <x v="0"/>
    <n v="80"/>
    <m/>
    <s v="MARINE"/>
    <x v="1"/>
    <n v="1135000"/>
    <n v="117"/>
    <d v="2012-09-30T00:00:00"/>
    <s v="2DA-SEP"/>
    <n v="0.2"/>
    <x v="1"/>
    <s v="BANCOMER"/>
    <m/>
    <n v="567500"/>
    <n v="567500"/>
    <n v="0"/>
    <n v="0"/>
    <n v="567500"/>
    <x v="8"/>
    <n v="0"/>
    <d v="2012-06-07T00:00:00"/>
    <d v="2012-06-07T00:00:00"/>
    <d v="2012-06-0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9"/>
    <s v="PTA NORTE "/>
    <s v="020608"/>
    <n v="2"/>
    <n v="6"/>
    <n v="8"/>
    <s v="ESTRELLA POLAR"/>
    <m/>
    <x v="0"/>
    <n v="80"/>
    <m/>
    <s v="AKUA"/>
    <x v="1"/>
    <n v="1126000"/>
    <n v="118"/>
    <d v="2012-09-30T00:00:00"/>
    <s v="2DA-SEP"/>
    <n v="0.2"/>
    <x v="1"/>
    <s v="BANCOMER"/>
    <m/>
    <n v="563000"/>
    <n v="563000"/>
    <n v="0"/>
    <n v="0"/>
    <n v="563000"/>
    <x v="8"/>
    <n v="0"/>
    <d v="2012-06-10T00:00:00"/>
    <d v="2012-06-10T00:00:00"/>
    <d v="2012-06-10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0"/>
    <s v="PTA NORTE "/>
    <s v="020609"/>
    <n v="2"/>
    <n v="6"/>
    <n v="9"/>
    <s v="TARRAGONA"/>
    <m/>
    <x v="0"/>
    <n v="80.322999999999993"/>
    <m/>
    <s v="AKUA"/>
    <x v="1"/>
    <n v="1127227.3999999999"/>
    <n v="119"/>
    <d v="2012-09-30T00:00:00"/>
    <s v="2DA-SEP"/>
    <n v="0.2"/>
    <x v="1"/>
    <s v="BANCOMER"/>
    <m/>
    <n v="563613.69999999995"/>
    <n v="563613.69999999995"/>
    <n v="0"/>
    <n v="0"/>
    <n v="563613.69999999995"/>
    <x v="8"/>
    <n v="0"/>
    <d v="2012-06-09T00:00:00"/>
    <d v="2012-06-09T00:00:00"/>
    <d v="2012-06-09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7.4246666666663"/>
    <n v="3757.4246666666663"/>
    <n v="3757.4246666666663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1"/>
    <s v="PTA NORTE "/>
    <s v="020610"/>
    <n v="2"/>
    <n v="6"/>
    <n v="10"/>
    <s v="TARRAGONA"/>
    <m/>
    <x v="0"/>
    <n v="84.034999999999997"/>
    <m/>
    <s v="AKUA"/>
    <x v="1"/>
    <n v="1141333"/>
    <n v="120"/>
    <d v="2012-09-30T00:00:00"/>
    <s v="2DA-SEP"/>
    <n v="0.2"/>
    <x v="1"/>
    <s v="BANCOMER"/>
    <m/>
    <n v="570666.5"/>
    <n v="0"/>
    <n v="570666.5"/>
    <n v="0"/>
    <n v="0"/>
    <x v="6"/>
    <n v="0.95"/>
    <d v="2012-05-20T00:00:00"/>
    <d v="2012-05-20T00:00:00"/>
    <d v="2012-05-20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804.4433333333332"/>
    <n v="3804.4433333333332"/>
    <n v="3804.4433333333332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2"/>
    <s v="PTA NORTE "/>
    <s v="020611"/>
    <n v="2"/>
    <n v="6"/>
    <n v="11"/>
    <s v="TARRAGONA"/>
    <m/>
    <x v="0"/>
    <n v="105.44199999999999"/>
    <m/>
    <s v="MARINE"/>
    <x v="1"/>
    <n v="1231679.6000000001"/>
    <n v="121"/>
    <d v="2012-09-30T00:00:00"/>
    <s v="2DA-SEP"/>
    <n v="0.2"/>
    <x v="1"/>
    <s v="BANCOMER"/>
    <m/>
    <n v="615839.80000000005"/>
    <n v="0"/>
    <n v="615839.80000000005"/>
    <n v="0"/>
    <n v="0"/>
    <x v="6"/>
    <n v="0.95"/>
    <d v="2012-07-06T00:00:00"/>
    <d v="2012-07-06T00:00:00"/>
    <d v="2012-07-06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4105.5986666666677"/>
    <n v="4105.5986666666677"/>
    <n v="4105.5986666666677"/>
    <m/>
    <m/>
    <m/>
    <m/>
    <x v="5"/>
    <s v="ND"/>
    <s v="ND"/>
    <s v="ND"/>
    <s v="NA"/>
    <s v=""/>
    <s v="NA"/>
    <s v=""/>
    <s v="NA"/>
    <s v=""/>
    <x v="3"/>
    <s v="NA"/>
    <s v="NA"/>
    <x v="5"/>
    <x v="5"/>
    <x v="5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3"/>
    <s v="PTA NORTE "/>
    <s v="020612"/>
    <n v="2"/>
    <n v="6"/>
    <n v="12"/>
    <s v="ESTRELLA POLAR"/>
    <m/>
    <x v="0"/>
    <n v="80"/>
    <m/>
    <s v="AKUA"/>
    <x v="1"/>
    <n v="1126000"/>
    <n v="122"/>
    <d v="2012-10-15T00:00:00"/>
    <s v="2DA-OCT"/>
    <n v="0.1"/>
    <x v="1"/>
    <s v="BANCOMER"/>
    <m/>
    <n v="563000"/>
    <n v="0"/>
    <n v="563000"/>
    <n v="0"/>
    <n v="0"/>
    <x v="6"/>
    <n v="0.95"/>
    <d v="2012-06-30T00:00:00"/>
    <d v="2012-06-30T00:00:00"/>
    <d v="2012-06-30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4"/>
    <s v="PTA NORTE "/>
    <s v="020613"/>
    <n v="2"/>
    <n v="6"/>
    <n v="13"/>
    <s v="ESTRELLA POLAR"/>
    <m/>
    <x v="0"/>
    <n v="80"/>
    <m/>
    <s v="MARINE"/>
    <x v="1"/>
    <n v="1135000"/>
    <n v="123"/>
    <d v="2012-10-15T00:00:00"/>
    <s v="2DA-OCT"/>
    <n v="0.1"/>
    <x v="1"/>
    <s v="BANCOMER"/>
    <m/>
    <n v="567500"/>
    <n v="0"/>
    <n v="567500"/>
    <n v="0"/>
    <n v="0"/>
    <x v="6"/>
    <n v="0.95"/>
    <d v="2012-06-25T00:00:00"/>
    <d v="2012-06-25T00:00:00"/>
    <d v="2012-06-25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5"/>
    <s v="PTA NORTE "/>
    <s v="020614"/>
    <n v="2"/>
    <n v="6"/>
    <n v="14"/>
    <s v="ESTRELLA POLAR"/>
    <m/>
    <x v="0"/>
    <n v="80"/>
    <m/>
    <s v="AKUA"/>
    <x v="1"/>
    <n v="1126000"/>
    <n v="124"/>
    <d v="2012-10-15T00:00:00"/>
    <s v="2DA-OCT"/>
    <n v="0.1"/>
    <x v="1"/>
    <s v="BANCOMER"/>
    <m/>
    <n v="563000"/>
    <n v="0"/>
    <n v="563000"/>
    <n v="0"/>
    <n v="0"/>
    <x v="6"/>
    <n v="0.95"/>
    <d v="2012-06-20T00:00:00"/>
    <d v="2012-06-20T00:00:00"/>
    <d v="2012-06-20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6"/>
    <s v="PTA NORTE "/>
    <s v="020615"/>
    <n v="2"/>
    <n v="6"/>
    <n v="15"/>
    <s v="ESTRELLA POLAR"/>
    <m/>
    <x v="0"/>
    <n v="80"/>
    <m/>
    <s v="AKUA"/>
    <x v="1"/>
    <n v="1126000"/>
    <n v="125"/>
    <d v="2012-10-15T00:00:00"/>
    <s v="2DA-OCT"/>
    <n v="0.1"/>
    <x v="1"/>
    <s v="BANCOMER"/>
    <m/>
    <n v="563000"/>
    <n v="0"/>
    <n v="563000"/>
    <n v="0"/>
    <n v="0"/>
    <x v="6"/>
    <n v="0.95"/>
    <d v="2012-06-15T00:00:00"/>
    <d v="2012-06-15T00:00:00"/>
    <d v="2012-06-15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7"/>
    <s v="PTA NORTE "/>
    <s v="020606"/>
    <n v="2"/>
    <n v="6"/>
    <n v="6"/>
    <s v="ESTRELLA POLAR"/>
    <m/>
    <x v="0"/>
    <n v="80"/>
    <m/>
    <s v="MARINE"/>
    <x v="1"/>
    <n v="1135000"/>
    <n v="126"/>
    <d v="2012-10-15T00:00:00"/>
    <s v="2DA-OCT"/>
    <n v="0.1"/>
    <x v="1"/>
    <s v="BANCOMER"/>
    <m/>
    <n v="567500"/>
    <n v="0"/>
    <n v="567500"/>
    <n v="0"/>
    <n v="0"/>
    <x v="6"/>
    <n v="0.95"/>
    <d v="2012-07-28T00:00:00"/>
    <d v="2012-07-28T00:00:00"/>
    <d v="2012-07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8"/>
    <s v="PTA NORTE "/>
    <s v="020617"/>
    <n v="2"/>
    <n v="6"/>
    <n v="17"/>
    <s v="ESTRELLA POLAR"/>
    <m/>
    <x v="0"/>
    <n v="80"/>
    <m/>
    <s v="AKUA"/>
    <x v="1"/>
    <n v="1126000"/>
    <n v="127"/>
    <d v="2012-10-15T00:00:00"/>
    <s v="2DA-OCT"/>
    <n v="0.1"/>
    <x v="1"/>
    <s v="BANCOMER"/>
    <m/>
    <n v="563000"/>
    <n v="0"/>
    <n v="563000"/>
    <n v="0"/>
    <n v="0"/>
    <x v="6"/>
    <n v="0.95"/>
    <d v="2012-07-23T00:00:00"/>
    <d v="2012-07-23T00:00:00"/>
    <d v="2012-07-2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1"/>
    <x v="1"/>
    <x v="1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9"/>
    <s v="PTA NORTE "/>
    <s v="020618"/>
    <n v="2"/>
    <n v="6"/>
    <n v="18"/>
    <s v="ESTRELLA POLAR"/>
    <m/>
    <x v="0"/>
    <n v="80"/>
    <m/>
    <s v="AKUA"/>
    <x v="1"/>
    <n v="1126000"/>
    <n v="128"/>
    <d v="2012-10-15T00:00:00"/>
    <s v="2DA-OCT"/>
    <n v="0.1"/>
    <x v="1"/>
    <s v="BANCOMER"/>
    <m/>
    <n v="563000"/>
    <n v="0"/>
    <n v="563000"/>
    <n v="0"/>
    <n v="0"/>
    <x v="6"/>
    <n v="0.95"/>
    <d v="2012-07-18T00:00:00"/>
    <d v="2012-07-18T00:00:00"/>
    <d v="2012-07-1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2"/>
    <x v="2"/>
    <x v="2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0"/>
    <s v="PTA NORTE "/>
    <s v="020619"/>
    <n v="2"/>
    <n v="6"/>
    <n v="19"/>
    <s v="ESTRELLA POLAR"/>
    <m/>
    <x v="0"/>
    <n v="80"/>
    <m/>
    <s v="MARINE"/>
    <x v="1"/>
    <n v="1135000"/>
    <n v="129"/>
    <d v="2012-10-15T00:00:00"/>
    <s v="2DA-OCT"/>
    <n v="0.1"/>
    <x v="1"/>
    <s v="BANCOMER"/>
    <m/>
    <n v="567500"/>
    <n v="0"/>
    <n v="567500"/>
    <n v="0"/>
    <n v="0"/>
    <x v="6"/>
    <n v="0.95"/>
    <d v="2012-07-13T00:00:00"/>
    <d v="2012-07-13T00:00:00"/>
    <d v="2012-07-1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1"/>
    <s v="PTA NORTE "/>
    <s v="020620"/>
    <n v="2"/>
    <n v="6"/>
    <n v="20"/>
    <s v="ESTRELLA POLAR"/>
    <m/>
    <x v="0"/>
    <n v="80"/>
    <m/>
    <s v="AKUA"/>
    <x v="1"/>
    <n v="1126000"/>
    <n v="130"/>
    <d v="2012-10-15T00:00:00"/>
    <s v="2DA-OCT"/>
    <n v="0.1"/>
    <x v="1"/>
    <s v="BANCOMER"/>
    <m/>
    <n v="563000"/>
    <n v="551740"/>
    <n v="11260"/>
    <n v="0"/>
    <n v="551740"/>
    <x v="9"/>
    <n v="1.0000000000000009E-2"/>
    <d v="2012-07-07T00:00:00"/>
    <d v="2012-07-07T00:00:00"/>
    <d v="2012-07-0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4"/>
    <x v="4"/>
    <x v="4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2"/>
    <s v="PTA NORTE "/>
    <s v="020621"/>
    <n v="2"/>
    <n v="6"/>
    <n v="21"/>
    <s v="ESTRELLA POLAR"/>
    <m/>
    <x v="0"/>
    <n v="80"/>
    <m/>
    <s v="AKUA"/>
    <x v="1"/>
    <n v="1126000"/>
    <n v="131"/>
    <d v="2012-10-15T00:00:00"/>
    <s v="2DA-OCT"/>
    <n v="0.1"/>
    <x v="1"/>
    <s v="BANCOMER"/>
    <m/>
    <n v="563000"/>
    <n v="551740"/>
    <n v="11260"/>
    <n v="0"/>
    <n v="551740"/>
    <x v="9"/>
    <n v="1.0000000000000009E-2"/>
    <d v="2012-07-03T00:00:00"/>
    <d v="2012-07-03T00:00:00"/>
    <d v="2012-07-0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5"/>
    <x v="5"/>
    <x v="5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3"/>
    <s v="PTA NORTE "/>
    <s v="020622"/>
    <n v="2"/>
    <n v="6"/>
    <n v="22"/>
    <s v="ESTRELLA POLAR"/>
    <m/>
    <x v="0"/>
    <n v="82.236000000000004"/>
    <m/>
    <s v="MARINE"/>
    <x v="1"/>
    <n v="1143496.8"/>
    <n v="132"/>
    <d v="2012-10-15T00:00:00"/>
    <s v="2DA-OCT"/>
    <n v="0.1"/>
    <x v="1"/>
    <s v="BANCOMER"/>
    <m/>
    <n v="571748.4"/>
    <n v="560313.43200000003"/>
    <n v="11434.967999999993"/>
    <n v="0"/>
    <n v="560313.43200000003"/>
    <x v="9"/>
    <n v="1.0000000000000009E-2"/>
    <d v="2012-07-02T00:00:00"/>
    <d v="2012-07-02T00:00:00"/>
    <d v="2012-07-0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811.6560000000004"/>
    <n v="3811.6560000000004"/>
    <n v="3811.6560000000004"/>
    <m/>
    <m/>
    <m/>
    <m/>
    <x v="5"/>
    <s v="ND"/>
    <s v="ND"/>
    <s v="ND"/>
    <s v="NA"/>
    <s v=""/>
    <s v="NA"/>
    <s v=""/>
    <s v="NA"/>
    <s v=""/>
    <x v="3"/>
    <s v="NA"/>
    <s v="NA"/>
    <x v="6"/>
    <x v="6"/>
    <x v="6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4"/>
    <s v="PTA NORTE "/>
    <s v="020701"/>
    <n v="2"/>
    <n v="7"/>
    <n v="1"/>
    <s v="ESTRELLA LUMINOSA"/>
    <m/>
    <x v="0"/>
    <n v="82.113"/>
    <m/>
    <s v="AKUA"/>
    <x v="1"/>
    <n v="1134029.3999999999"/>
    <n v="133"/>
    <d v="2012-10-15T00:00:00"/>
    <s v="2DA-OCT"/>
    <n v="0.1"/>
    <x v="1"/>
    <s v="BANCOMER"/>
    <m/>
    <n v="567014.69999999995"/>
    <n v="555674.40599999996"/>
    <n v="11340.293999999994"/>
    <n v="0"/>
    <n v="555674.40599999996"/>
    <x v="9"/>
    <n v="1.0000000000000009E-2"/>
    <d v="2012-06-28T00:00:00"/>
    <d v="2012-06-28T00:00:00"/>
    <d v="2012-06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0.098"/>
    <n v="3780.098"/>
    <n v="3780.098"/>
    <m/>
    <m/>
    <m/>
    <m/>
    <x v="5"/>
    <s v="ND"/>
    <s v="ND"/>
    <s v="ND"/>
    <s v="NA"/>
    <s v=""/>
    <s v="NA"/>
    <s v=""/>
    <s v="NA"/>
    <s v=""/>
    <x v="3"/>
    <s v="NA"/>
    <s v="NA"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5"/>
    <s v="PTA NORTE "/>
    <s v="020702"/>
    <n v="2"/>
    <n v="7"/>
    <n v="2"/>
    <s v="ESTRELLA LUMINOSA"/>
    <m/>
    <x v="0"/>
    <n v="80"/>
    <m/>
    <s v="AKUA"/>
    <x v="1"/>
    <n v="1126000"/>
    <n v="134"/>
    <d v="2012-10-15T00:00:00"/>
    <s v="2DA-OCT"/>
    <n v="0.1"/>
    <x v="1"/>
    <s v="BANCOMER"/>
    <m/>
    <n v="563000"/>
    <n v="551740"/>
    <n v="11260"/>
    <n v="0"/>
    <n v="551740"/>
    <x v="9"/>
    <n v="1.0000000000000009E-2"/>
    <d v="2012-06-23T00:00:00"/>
    <d v="2012-06-23T00:00:00"/>
    <d v="2012-06-2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6"/>
    <s v="PTA NORTE "/>
    <s v="020703"/>
    <n v="2"/>
    <n v="7"/>
    <n v="3"/>
    <s v="ESTRELLA LUMINOSA"/>
    <m/>
    <x v="0"/>
    <n v="80"/>
    <m/>
    <s v="MARINE"/>
    <x v="1"/>
    <n v="1135000"/>
    <n v="135"/>
    <d v="2012-10-15T00:00:00"/>
    <s v="2DA-OCT"/>
    <n v="0.1"/>
    <x v="1"/>
    <s v="BANCOMER"/>
    <m/>
    <n v="567500"/>
    <n v="556150"/>
    <n v="11350"/>
    <n v="0"/>
    <n v="556150"/>
    <x v="9"/>
    <n v="1.0000000000000009E-2"/>
    <d v="2012-06-17T00:00:00"/>
    <d v="2012-06-17T00:00:00"/>
    <d v="2012-06-1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7"/>
    <s v="PTA NORTE "/>
    <s v="020704"/>
    <n v="2"/>
    <n v="7"/>
    <n v="4"/>
    <s v="ESTRELLA LUMINOSA"/>
    <m/>
    <x v="0"/>
    <n v="80"/>
    <m/>
    <s v="AKUA"/>
    <x v="1"/>
    <n v="1126000"/>
    <n v="136"/>
    <d v="2012-10-15T00:00:00"/>
    <s v="2DA-OCT"/>
    <n v="0.1"/>
    <x v="1"/>
    <s v="BANCOMER"/>
    <m/>
    <n v="563000"/>
    <n v="551740"/>
    <n v="11260"/>
    <n v="0"/>
    <n v="551740"/>
    <x v="9"/>
    <n v="1.0000000000000009E-2"/>
    <d v="2012-06-12T00:00:00"/>
    <d v="2012-06-12T00:00:00"/>
    <d v="2012-06-1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8"/>
    <s v="PTA NORTE "/>
    <s v="020705"/>
    <n v="2"/>
    <n v="7"/>
    <n v="5"/>
    <s v="ESTRELLA LUMINOSA"/>
    <m/>
    <x v="0"/>
    <n v="80"/>
    <m/>
    <s v="AKUA"/>
    <x v="1"/>
    <n v="1126000"/>
    <n v="137"/>
    <d v="2012-10-15T00:00:00"/>
    <s v="2DA-OCT"/>
    <n v="0.1"/>
    <x v="1"/>
    <s v="BANCOMER"/>
    <m/>
    <n v="563000"/>
    <n v="551740"/>
    <n v="11260"/>
    <n v="0"/>
    <n v="551740"/>
    <x v="9"/>
    <n v="1.0000000000000009E-2"/>
    <d v="2012-07-28T00:00:00"/>
    <d v="2012-07-28T00:00:00"/>
    <d v="2012-07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9"/>
    <s v="PTA NORTE "/>
    <s v="020706"/>
    <n v="2"/>
    <n v="7"/>
    <n v="6"/>
    <s v="ESTRELLA LUMINOSA"/>
    <m/>
    <x v="0"/>
    <n v="80"/>
    <m/>
    <s v="MARINE"/>
    <x v="1"/>
    <n v="1135000"/>
    <n v="138"/>
    <d v="2012-10-15T00:00:00"/>
    <s v="2DA-OCT"/>
    <n v="0.1"/>
    <x v="1"/>
    <s v="BANCOMER"/>
    <m/>
    <n v="567500"/>
    <n v="556150"/>
    <n v="11350"/>
    <n v="0"/>
    <n v="556150"/>
    <x v="9"/>
    <n v="1.0000000000000009E-2"/>
    <d v="2012-07-23T00:00:00"/>
    <d v="2012-07-23T00:00:00"/>
    <d v="2012-07-2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1"/>
    <x v="1"/>
    <x v="1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0"/>
    <s v="PTA NORTE "/>
    <s v="020707"/>
    <n v="2"/>
    <n v="7"/>
    <n v="7"/>
    <s v="ESTRELLA LUMINOSA"/>
    <m/>
    <x v="0"/>
    <n v="80"/>
    <m/>
    <s v="AKUA"/>
    <x v="1"/>
    <n v="1126000"/>
    <n v="139"/>
    <d v="2012-10-15T00:00:00"/>
    <s v="2DA-OCT"/>
    <n v="0.1"/>
    <x v="1"/>
    <s v="BANCOMER"/>
    <m/>
    <n v="563000"/>
    <n v="551740"/>
    <n v="11260"/>
    <n v="0"/>
    <n v="551740"/>
    <x v="9"/>
    <n v="1.0000000000000009E-2"/>
    <d v="2012-07-18T00:00:00"/>
    <d v="2012-07-18T00:00:00"/>
    <d v="2012-07-1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2"/>
    <x v="2"/>
    <x v="2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1"/>
    <s v="PTA NORTE "/>
    <s v="020708"/>
    <n v="2"/>
    <n v="7"/>
    <n v="8"/>
    <s v="ESTRELLA LUMINOSA"/>
    <m/>
    <x v="0"/>
    <n v="80"/>
    <m/>
    <s v="AKUA"/>
    <x v="1"/>
    <n v="1126000"/>
    <n v="140"/>
    <d v="2012-10-15T00:00:00"/>
    <s v="2DA-OCT"/>
    <n v="0.1"/>
    <x v="1"/>
    <s v="BANCOMER"/>
    <m/>
    <n v="563000"/>
    <n v="551740"/>
    <n v="11260"/>
    <n v="0"/>
    <n v="551740"/>
    <x v="9"/>
    <n v="1.0000000000000009E-2"/>
    <d v="2012-07-13T00:00:00"/>
    <d v="2012-07-13T00:00:00"/>
    <d v="2012-07-1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2"/>
    <s v="PTA NORTE "/>
    <s v="020709"/>
    <n v="2"/>
    <n v="7"/>
    <n v="9"/>
    <s v="ESTRELLA LUMINOSA"/>
    <m/>
    <x v="0"/>
    <n v="80"/>
    <m/>
    <s v="MARINE"/>
    <x v="1"/>
    <n v="1135000"/>
    <n v="141"/>
    <d v="2012-10-15T00:00:00"/>
    <s v="2DA-OCT"/>
    <n v="0.1"/>
    <x v="1"/>
    <s v="BANCOMER"/>
    <m/>
    <n v="567500"/>
    <n v="556150"/>
    <n v="11350"/>
    <n v="0"/>
    <n v="556150"/>
    <x v="9"/>
    <n v="1.0000000000000009E-2"/>
    <d v="2012-07-07T00:00:00"/>
    <d v="2012-07-07T00:00:00"/>
    <d v="2012-07-0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4"/>
    <x v="4"/>
    <x v="4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3"/>
    <s v="PTA NORTE "/>
    <s v="020710"/>
    <n v="2"/>
    <n v="7"/>
    <n v="10"/>
    <s v="ESTRELLA LUMINOSA"/>
    <m/>
    <x v="0"/>
    <n v="80"/>
    <m/>
    <s v="AKUA"/>
    <x v="1"/>
    <n v="1126000"/>
    <n v="142"/>
    <d v="2012-10-15T00:00:00"/>
    <s v="2DA-OCT"/>
    <n v="0.1"/>
    <x v="1"/>
    <s v="BANCOMER"/>
    <m/>
    <n v="563000"/>
    <n v="551740"/>
    <n v="11260"/>
    <n v="0"/>
    <n v="551740"/>
    <x v="9"/>
    <n v="1.0000000000000009E-2"/>
    <d v="2012-07-03T00:00:00"/>
    <d v="2012-07-03T00:00:00"/>
    <d v="2012-07-0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5"/>
    <x v="5"/>
    <x v="5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4"/>
    <s v="PTA NORTE "/>
    <s v="020711"/>
    <n v="2"/>
    <n v="7"/>
    <n v="11"/>
    <s v="ESTRELLA LUMINOSA"/>
    <m/>
    <x v="0"/>
    <n v="80"/>
    <m/>
    <s v="AKUA"/>
    <x v="1"/>
    <n v="1126000"/>
    <n v="143"/>
    <d v="2012-10-15T00:00:00"/>
    <s v="2DA-OCT"/>
    <n v="0.1"/>
    <x v="1"/>
    <s v="BANCOMER"/>
    <m/>
    <n v="563000"/>
    <n v="551740"/>
    <n v="11260"/>
    <n v="0"/>
    <n v="551740"/>
    <x v="9"/>
    <n v="1.0000000000000009E-2"/>
    <d v="2012-07-02T00:00:00"/>
    <d v="2012-07-02T00:00:00"/>
    <d v="2012-07-0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6"/>
    <x v="6"/>
    <x v="6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5"/>
    <s v="PTA NORTE "/>
    <s v="020712"/>
    <n v="2"/>
    <n v="7"/>
    <n v="12"/>
    <s v="ESTRELLA LUMINOSA"/>
    <m/>
    <x v="0"/>
    <n v="80"/>
    <m/>
    <s v="MARINE"/>
    <x v="1"/>
    <n v="1135000"/>
    <n v="144"/>
    <d v="2012-10-15T00:00:00"/>
    <s v="2DA-OCT"/>
    <n v="0.1"/>
    <x v="1"/>
    <s v="BANCOMER"/>
    <m/>
    <n v="567500"/>
    <n v="170250"/>
    <n v="397250"/>
    <n v="0"/>
    <n v="170250"/>
    <x v="0"/>
    <n v="0.7"/>
    <d v="2012-06-28T00:00:00"/>
    <d v="2012-06-28T00:00:00"/>
    <d v="2012-06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6"/>
    <s v="PTA NORTE "/>
    <s v="020713"/>
    <n v="2"/>
    <n v="7"/>
    <n v="13"/>
    <s v="ESTRELLA LUMINOSA"/>
    <m/>
    <x v="0"/>
    <n v="114.78100000000001"/>
    <m/>
    <s v="MARINE"/>
    <x v="1"/>
    <n v="1267167.8"/>
    <n v="145"/>
    <d v="2012-10-15T00:00:00"/>
    <s v="2DA-OCT"/>
    <n v="0.1"/>
    <x v="1"/>
    <s v="BANCOMER"/>
    <m/>
    <n v="633583.9"/>
    <n v="538546.31500000006"/>
    <n v="95037.584999999963"/>
    <n v="0"/>
    <n v="538546.31500000006"/>
    <x v="1"/>
    <n v="0.15000000000000002"/>
    <d v="2012-06-23T00:00:00"/>
    <d v="2012-06-23T00:00:00"/>
    <d v="2012-06-2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4223.8926666666666"/>
    <n v="4223.8926666666666"/>
    <n v="4223.8926666666666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7"/>
    <s v="PTA NORTE "/>
    <s v="020714"/>
    <n v="2"/>
    <n v="7"/>
    <n v="14"/>
    <s v="ESTRELLA LUMINOSA"/>
    <m/>
    <x v="0"/>
    <n v="80"/>
    <m/>
    <s v="AKUA"/>
    <x v="1"/>
    <n v="1126000"/>
    <n v="146"/>
    <d v="2012-10-15T00:00:00"/>
    <s v="2DA-OCT"/>
    <n v="0.1"/>
    <x v="1"/>
    <s v="BANCOMER"/>
    <m/>
    <n v="563000"/>
    <n v="354690"/>
    <n v="208310"/>
    <n v="0"/>
    <n v="354690"/>
    <x v="2"/>
    <n v="0.35"/>
    <d v="2012-06-17T00:00:00"/>
    <d v="2012-06-17T00:00:00"/>
    <d v="2012-06-1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8"/>
    <s v="PTA NORTE "/>
    <s v="020715"/>
    <n v="2"/>
    <n v="7"/>
    <n v="15"/>
    <s v="ESTRELLA LUMINOSA"/>
    <m/>
    <x v="0"/>
    <n v="80"/>
    <m/>
    <s v="AKUA"/>
    <x v="1"/>
    <n v="1126000"/>
    <n v="147"/>
    <d v="2012-10-15T00:00:00"/>
    <s v="2DA-OCT"/>
    <n v="0.1"/>
    <x v="1"/>
    <s v="BANCOMER"/>
    <m/>
    <n v="563000"/>
    <n v="354690"/>
    <n v="208310"/>
    <n v="0"/>
    <n v="354690"/>
    <x v="2"/>
    <n v="0.35"/>
    <d v="2012-06-12T00:00:00"/>
    <d v="2012-06-12T00:00:00"/>
    <d v="2012-06-1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9"/>
    <s v="PTA NORTE "/>
    <s v="020716"/>
    <n v="2"/>
    <n v="7"/>
    <n v="16"/>
    <s v="ESTRELLA LUMINOSA"/>
    <m/>
    <x v="0"/>
    <n v="80"/>
    <m/>
    <s v="MARINE"/>
    <x v="1"/>
    <n v="1135000"/>
    <n v="148"/>
    <d v="2012-10-15T00:00:00"/>
    <s v="2DA-OCT"/>
    <n v="0.1"/>
    <x v="1"/>
    <s v="BANCOMER"/>
    <m/>
    <n v="567500"/>
    <n v="357525"/>
    <n v="209975"/>
    <n v="0"/>
    <n v="357525"/>
    <x v="2"/>
    <n v="0.35"/>
    <d v="2012-07-28T00:00:00"/>
    <d v="2012-07-28T00:00:00"/>
    <d v="2012-07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0"/>
    <s v="PTA NORTE "/>
    <s v="020717"/>
    <n v="2"/>
    <n v="7"/>
    <n v="17"/>
    <s v="ESTRELLA LUMINOSA"/>
    <m/>
    <x v="0"/>
    <n v="80"/>
    <m/>
    <s v="AKUA"/>
    <x v="1"/>
    <n v="1126000"/>
    <n v="149"/>
    <d v="2012-10-15T00:00:00"/>
    <s v="2DA-OCT"/>
    <n v="0.1"/>
    <x v="1"/>
    <s v="BANCOMER"/>
    <m/>
    <n v="563000"/>
    <n v="354690"/>
    <n v="208310"/>
    <n v="0"/>
    <n v="354690"/>
    <x v="2"/>
    <n v="0.35"/>
    <d v="2012-07-23T00:00:00"/>
    <d v="2012-07-23T00:00:00"/>
    <d v="2012-07-2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1"/>
    <x v="1"/>
    <x v="1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1"/>
    <s v="PTA NORTE "/>
    <s v="020718"/>
    <n v="2"/>
    <n v="7"/>
    <n v="18"/>
    <s v="ESTRELLA LUMINOSA"/>
    <m/>
    <x v="0"/>
    <n v="80"/>
    <m/>
    <s v="AKUA"/>
    <x v="1"/>
    <n v="1126000"/>
    <n v="150"/>
    <d v="2012-10-15T00:00:00"/>
    <s v="2DA-OCT"/>
    <n v="0.1"/>
    <x v="1"/>
    <s v="BANCOMER"/>
    <m/>
    <n v="563000"/>
    <n v="354690"/>
    <n v="208310"/>
    <n v="0"/>
    <n v="354690"/>
    <x v="2"/>
    <n v="0.35"/>
    <d v="2012-07-18T00:00:00"/>
    <d v="2012-07-18T00:00:00"/>
    <d v="2012-07-1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2"/>
    <x v="2"/>
    <x v="2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2"/>
    <s v="PTA NORTE "/>
    <s v="020719"/>
    <n v="2"/>
    <n v="7"/>
    <n v="19"/>
    <s v="ESTRELLA LUMINOSA"/>
    <m/>
    <x v="0"/>
    <n v="80"/>
    <m/>
    <s v="MARINE"/>
    <x v="1"/>
    <n v="1135000"/>
    <n v="151"/>
    <d v="2012-10-15T00:00:00"/>
    <s v="2DA-OCT"/>
    <n v="0.1"/>
    <x v="1"/>
    <s v="BANCOMER"/>
    <m/>
    <n v="567500"/>
    <n v="357525"/>
    <n v="209975"/>
    <n v="0"/>
    <n v="357525"/>
    <x v="2"/>
    <n v="0.35"/>
    <d v="2012-07-13T00:00:00"/>
    <d v="2012-07-13T00:00:00"/>
    <d v="2012-07-1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3"/>
    <s v="PTA NORTE "/>
    <s v="020720"/>
    <n v="2"/>
    <n v="7"/>
    <n v="20"/>
    <s v="ESTRELLA LUMINOSA"/>
    <m/>
    <x v="0"/>
    <n v="80"/>
    <m/>
    <s v="AKUA"/>
    <x v="1"/>
    <n v="1126000"/>
    <n v="152"/>
    <d v="2012-10-15T00:00:00"/>
    <s v="2DA-OCT"/>
    <n v="0.1"/>
    <x v="1"/>
    <s v="BANCOMER"/>
    <m/>
    <n v="563000"/>
    <n v="354690"/>
    <n v="208310"/>
    <n v="0"/>
    <n v="354690"/>
    <x v="2"/>
    <n v="0.35"/>
    <d v="2012-07-07T00:00:00"/>
    <d v="2012-07-07T00:00:00"/>
    <d v="2012-07-0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4"/>
    <x v="4"/>
    <x v="4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4"/>
    <s v="PTA NORTE "/>
    <s v="020721"/>
    <n v="2"/>
    <n v="7"/>
    <n v="21"/>
    <s v="ESTRELLA LUMINOSA"/>
    <m/>
    <x v="0"/>
    <n v="80"/>
    <m/>
    <s v="AKUA"/>
    <x v="1"/>
    <n v="1126000"/>
    <n v="153"/>
    <d v="2012-10-15T00:00:00"/>
    <s v="2DA-OCT"/>
    <n v="0.1"/>
    <x v="1"/>
    <s v="BANCOMER"/>
    <m/>
    <n v="563000"/>
    <n v="354690"/>
    <n v="208310"/>
    <n v="0"/>
    <n v="354690"/>
    <x v="2"/>
    <n v="0.35"/>
    <d v="2012-07-03T00:00:00"/>
    <d v="2012-07-03T00:00:00"/>
    <d v="2012-07-0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5"/>
    <x v="5"/>
    <x v="5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5"/>
    <s v="PTA NORTE "/>
    <s v="020722"/>
    <n v="2"/>
    <n v="7"/>
    <n v="22"/>
    <s v="ESTRELLA LUMINOSA"/>
    <m/>
    <x v="0"/>
    <n v="80"/>
    <m/>
    <s v="MARINE"/>
    <x v="1"/>
    <n v="1135000"/>
    <n v="154"/>
    <d v="2012-10-15T00:00:00"/>
    <s v="2DA-OCT"/>
    <n v="0.1"/>
    <x v="1"/>
    <s v="BANCOMER"/>
    <m/>
    <n v="567500"/>
    <n v="357525"/>
    <n v="209975"/>
    <n v="0"/>
    <n v="357525"/>
    <x v="2"/>
    <n v="0.35"/>
    <d v="2012-07-02T00:00:00"/>
    <d v="2012-07-02T00:00:00"/>
    <d v="2012-07-0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6"/>
    <x v="6"/>
    <x v="6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6"/>
    <s v="PTA NORTE "/>
    <s v="020723"/>
    <n v="2"/>
    <n v="7"/>
    <n v="23"/>
    <s v="ESTRELLA LUMINOSA"/>
    <m/>
    <x v="0"/>
    <n v="80"/>
    <m/>
    <s v="AKUA"/>
    <x v="1"/>
    <n v="1126000"/>
    <n v="155"/>
    <d v="2012-10-15T00:00:00"/>
    <s v="2DA-OCT"/>
    <n v="0.1"/>
    <x v="1"/>
    <s v="BANCOMER"/>
    <m/>
    <n v="563000"/>
    <n v="354690"/>
    <n v="208310"/>
    <n v="0"/>
    <n v="354690"/>
    <x v="2"/>
    <n v="0.35"/>
    <d v="2012-06-28T00:00:00"/>
    <d v="2012-06-28T00:00:00"/>
    <d v="2012-06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7"/>
    <s v="PTA NORTE "/>
    <s v="020724"/>
    <n v="2"/>
    <n v="7"/>
    <n v="24"/>
    <s v="ESTRELLA LUMINOSA"/>
    <m/>
    <x v="0"/>
    <n v="81.927999999999997"/>
    <m/>
    <s v="AKUA"/>
    <x v="1"/>
    <n v="1133326.3999999999"/>
    <n v="156"/>
    <d v="2012-10-15T00:00:00"/>
    <s v="2DA-OCT"/>
    <n v="0.1"/>
    <x v="1"/>
    <s v="BANCOMER"/>
    <m/>
    <n v="566663.19999999995"/>
    <n v="356997.81599999999"/>
    <n v="209665.38399999996"/>
    <n v="0"/>
    <n v="356997.81599999999"/>
    <x v="2"/>
    <n v="0.35"/>
    <d v="2012-06-23T00:00:00"/>
    <d v="2012-06-23T00:00:00"/>
    <d v="2012-06-2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77.7546666666663"/>
    <n v="3777.7546666666663"/>
    <n v="3777.7546666666663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8"/>
    <s v="PTA NORTE "/>
    <s v="020801"/>
    <n v="2"/>
    <n v="8"/>
    <n v="1"/>
    <s v="ESTRELLA PONIENTE"/>
    <m/>
    <x v="0"/>
    <n v="81.805000000000007"/>
    <m/>
    <s v="MARINE"/>
    <x v="1"/>
    <n v="1141859"/>
    <n v="157"/>
    <d v="2012-10-15T00:00:00"/>
    <s v="2DA-OCT"/>
    <n v="0.1"/>
    <x v="1"/>
    <s v="BANCOMER"/>
    <m/>
    <n v="570929.5"/>
    <n v="228371.80000000002"/>
    <n v="342557.69999999995"/>
    <n v="0"/>
    <n v="228371.80000000002"/>
    <x v="3"/>
    <n v="0.6"/>
    <d v="2012-06-17T00:00:00"/>
    <d v="2012-06-17T00:00:00"/>
    <d v="2012-06-1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806.1966666666667"/>
    <n v="3806.1966666666667"/>
    <n v="3806.1966666666667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9"/>
    <s v="PTA NORTE "/>
    <s v="020802"/>
    <n v="2"/>
    <n v="8"/>
    <n v="2"/>
    <s v="ESTRELLA PONIENTE"/>
    <m/>
    <x v="0"/>
    <n v="80"/>
    <m/>
    <s v="AKUA"/>
    <x v="1"/>
    <n v="1126000"/>
    <n v="158"/>
    <d v="2012-10-30T00:00:00"/>
    <s v="2DA-OCT"/>
    <n v="0.1"/>
    <x v="1"/>
    <s v="BANCOMER"/>
    <m/>
    <n v="563000"/>
    <n v="225200"/>
    <n v="337800"/>
    <n v="0"/>
    <n v="225200"/>
    <x v="3"/>
    <n v="0.6"/>
    <d v="2012-06-12T00:00:00"/>
    <d v="2012-06-12T00:00:00"/>
    <d v="2012-06-1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0"/>
    <s v="PTA NORTE "/>
    <s v="020803"/>
    <n v="2"/>
    <n v="8"/>
    <n v="3"/>
    <s v="ESTRELLA PONIENTE"/>
    <m/>
    <x v="0"/>
    <n v="80"/>
    <m/>
    <s v="AKUA"/>
    <x v="1"/>
    <n v="1126000"/>
    <n v="159"/>
    <d v="2012-10-30T00:00:00"/>
    <s v="2DA-OCT"/>
    <n v="0.1"/>
    <x v="1"/>
    <s v="BANCOMER"/>
    <m/>
    <n v="563000"/>
    <n v="225200"/>
    <n v="337800"/>
    <n v="0"/>
    <n v="225200"/>
    <x v="3"/>
    <n v="0.6"/>
    <d v="2012-07-28T00:00:00"/>
    <d v="2012-07-28T00:00:00"/>
    <d v="2012-07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1"/>
    <s v="PTA NORTE "/>
    <s v="020804"/>
    <n v="2"/>
    <n v="8"/>
    <n v="4"/>
    <s v="ESTRELLA PONIENTE"/>
    <m/>
    <x v="0"/>
    <n v="80"/>
    <m/>
    <s v="MARINE"/>
    <x v="1"/>
    <n v="1135000"/>
    <n v="160"/>
    <d v="2012-10-30T00:00:00"/>
    <s v="2DA-OCT"/>
    <n v="0.1"/>
    <x v="1"/>
    <s v="BANCOMER"/>
    <m/>
    <n v="567500"/>
    <n v="227000"/>
    <n v="340500"/>
    <n v="0"/>
    <n v="227000"/>
    <x v="3"/>
    <n v="0.6"/>
    <d v="2012-07-23T00:00:00"/>
    <d v="2012-07-23T00:00:00"/>
    <d v="2012-07-2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1"/>
    <x v="1"/>
    <x v="1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2"/>
    <s v="PTA NORTE "/>
    <s v="020805"/>
    <n v="2"/>
    <n v="8"/>
    <n v="5"/>
    <s v="ESTRELLA PONIENTE"/>
    <m/>
    <x v="0"/>
    <n v="80"/>
    <m/>
    <s v="AKUA"/>
    <x v="1"/>
    <n v="1126000"/>
    <n v="161"/>
    <d v="2012-10-30T00:00:00"/>
    <s v="2DA-OCT"/>
    <n v="0.1"/>
    <x v="1"/>
    <s v="BANCOMER"/>
    <m/>
    <n v="563000"/>
    <n v="225200"/>
    <n v="337800"/>
    <n v="0"/>
    <n v="225200"/>
    <x v="3"/>
    <n v="0.6"/>
    <d v="2012-07-18T00:00:00"/>
    <d v="2012-07-18T00:00:00"/>
    <d v="2012-07-1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2"/>
    <x v="2"/>
    <x v="2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3"/>
    <s v="PTA NORTE "/>
    <s v="020806"/>
    <n v="2"/>
    <n v="8"/>
    <n v="6"/>
    <s v="ESTRELLA PONIENTE"/>
    <m/>
    <x v="0"/>
    <n v="80"/>
    <m/>
    <s v="AKUA"/>
    <x v="1"/>
    <n v="1126000"/>
    <n v="162"/>
    <d v="2012-10-30T00:00:00"/>
    <s v="2DA-OCT"/>
    <n v="0.1"/>
    <x v="1"/>
    <s v="BANCOMER"/>
    <m/>
    <n v="563000"/>
    <n v="225200"/>
    <n v="337800"/>
    <n v="0"/>
    <n v="225200"/>
    <x v="3"/>
    <n v="0.6"/>
    <d v="2012-07-13T00:00:00"/>
    <d v="2012-07-13T00:00:00"/>
    <d v="2012-07-1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4"/>
    <s v="PTA NORTE "/>
    <s v="020807"/>
    <n v="2"/>
    <n v="8"/>
    <n v="7"/>
    <s v="ESTRELLA PONIENTE"/>
    <m/>
    <x v="0"/>
    <n v="80"/>
    <m/>
    <s v="MARINE"/>
    <x v="1"/>
    <n v="1135000"/>
    <n v="163"/>
    <d v="2012-10-30T00:00:00"/>
    <s v="2DA-OCT"/>
    <n v="0.1"/>
    <x v="1"/>
    <s v="BANCOMER"/>
    <m/>
    <n v="567500"/>
    <n v="227000"/>
    <n v="340500"/>
    <n v="0"/>
    <n v="227000"/>
    <x v="3"/>
    <n v="0.6"/>
    <d v="2012-07-07T00:00:00"/>
    <d v="2012-07-07T00:00:00"/>
    <d v="2012-07-0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4"/>
    <x v="4"/>
    <x v="4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5"/>
    <s v="PTA NORTE "/>
    <s v="020808"/>
    <n v="2"/>
    <n v="8"/>
    <n v="8"/>
    <s v="ESTRELLA PONIENTE"/>
    <m/>
    <x v="0"/>
    <n v="80"/>
    <m/>
    <s v="AKUA"/>
    <x v="1"/>
    <n v="1126000"/>
    <n v="164"/>
    <d v="2012-10-30T00:00:00"/>
    <s v="2DA-OCT"/>
    <n v="0.1"/>
    <x v="1"/>
    <s v="BANCOMER"/>
    <m/>
    <n v="563000"/>
    <n v="225200"/>
    <n v="337800"/>
    <n v="0"/>
    <n v="225200"/>
    <x v="3"/>
    <n v="0.6"/>
    <d v="2012-07-03T00:00:00"/>
    <d v="2012-07-03T00:00:00"/>
    <d v="2012-07-0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5"/>
    <x v="5"/>
    <x v="5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6"/>
    <s v="PTA NORTE "/>
    <s v="020809"/>
    <n v="2"/>
    <n v="8"/>
    <n v="9"/>
    <s v="TARRAGONA"/>
    <m/>
    <x v="0"/>
    <n v="95.784999999999997"/>
    <m/>
    <s v="AKUA"/>
    <x v="1"/>
    <n v="1185983"/>
    <n v="165"/>
    <d v="2012-10-30T00:00:00"/>
    <s v="2DA-OCT"/>
    <n v="0.1"/>
    <x v="1"/>
    <s v="BANCOMER"/>
    <m/>
    <n v="592991.5"/>
    <n v="237196.6"/>
    <n v="355794.9"/>
    <n v="0"/>
    <n v="237196.6"/>
    <x v="3"/>
    <n v="0.6"/>
    <d v="2012-07-02T00:00:00"/>
    <d v="2012-07-02T00:00:00"/>
    <d v="2012-07-0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953.2766666666666"/>
    <n v="3953.2766666666666"/>
    <n v="3953.2766666666666"/>
    <m/>
    <m/>
    <m/>
    <m/>
    <x v="5"/>
    <s v="ND"/>
    <s v="ND"/>
    <s v="ND"/>
    <s v="NA"/>
    <s v=""/>
    <s v="NA"/>
    <s v=""/>
    <s v="NA"/>
    <s v=""/>
    <x v="3"/>
    <s v="NA"/>
    <s v="NA"/>
    <x v="6"/>
    <x v="6"/>
    <x v="6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7"/>
    <s v="PTA NORTE "/>
    <s v="020810"/>
    <n v="2"/>
    <n v="8"/>
    <n v="10"/>
    <s v="TARRAGONA"/>
    <m/>
    <x v="0"/>
    <n v="88.542000000000002"/>
    <m/>
    <s v="AKUA"/>
    <x v="1"/>
    <n v="1158459.6000000001"/>
    <n v="166"/>
    <d v="2012-10-30T00:00:00"/>
    <s v="2DA-OCT"/>
    <n v="0.1"/>
    <x v="1"/>
    <s v="BANCOMER"/>
    <m/>
    <n v="579229.80000000005"/>
    <n v="231691.92000000004"/>
    <n v="347537.88"/>
    <n v="0"/>
    <n v="231691.92000000004"/>
    <x v="3"/>
    <n v="0.6"/>
    <d v="2012-06-28T00:00:00"/>
    <d v="2012-06-28T00:00:00"/>
    <d v="2012-06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861.5320000000006"/>
    <n v="3861.5320000000006"/>
    <n v="3861.5320000000006"/>
    <m/>
    <m/>
    <m/>
    <m/>
    <x v="5"/>
    <s v="ND"/>
    <s v="ND"/>
    <s v="ND"/>
    <s v="NA"/>
    <s v=""/>
    <s v="NA"/>
    <s v=""/>
    <s v="NA"/>
    <s v=""/>
    <x v="3"/>
    <s v="NA"/>
    <s v="NA"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8"/>
    <s v="PTA NORTE "/>
    <s v="020811"/>
    <n v="2"/>
    <n v="8"/>
    <n v="11"/>
    <s v="TARRAGONA"/>
    <m/>
    <x v="0"/>
    <n v="96.582999999999998"/>
    <m/>
    <s v="MARINE"/>
    <x v="1"/>
    <n v="1198015.3999999999"/>
    <n v="167"/>
    <d v="2012-10-30T00:00:00"/>
    <s v="2DA-OCT"/>
    <n v="0.1"/>
    <x v="1"/>
    <s v="BANCOMER"/>
    <m/>
    <n v="599007.69999999995"/>
    <n v="239603.08"/>
    <n v="359404.62"/>
    <n v="0"/>
    <n v="239603.08"/>
    <x v="3"/>
    <n v="0.6"/>
    <d v="2012-06-23T00:00:00"/>
    <d v="2012-06-23T00:00:00"/>
    <d v="2012-06-2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993.3846666666664"/>
    <n v="3993.3846666666664"/>
    <n v="3993.3846666666664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9"/>
    <s v="PTA NORTE "/>
    <s v="020812"/>
    <n v="2"/>
    <n v="8"/>
    <n v="12"/>
    <s v="ESTRELLA PONIENTE"/>
    <m/>
    <x v="0"/>
    <n v="80"/>
    <m/>
    <s v="AKUA"/>
    <x v="1"/>
    <n v="1126000"/>
    <n v="168"/>
    <d v="2012-10-30T00:00:00"/>
    <s v="2DA-OCT"/>
    <n v="0.1"/>
    <x v="1"/>
    <s v="BANCOMER"/>
    <m/>
    <n v="563000"/>
    <n v="112600"/>
    <n v="450400"/>
    <n v="0"/>
    <n v="112600"/>
    <x v="4"/>
    <n v="0.8"/>
    <d v="2012-06-17T00:00:00"/>
    <d v="2012-06-17T00:00:00"/>
    <d v="2012-06-1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0"/>
    <s v="PTA NORTE "/>
    <s v="020813"/>
    <n v="2"/>
    <n v="8"/>
    <n v="13"/>
    <s v="ESTRELLA PONIENTE"/>
    <m/>
    <x v="0"/>
    <n v="80"/>
    <m/>
    <s v="AKUA"/>
    <x v="1"/>
    <n v="1126000"/>
    <n v="169"/>
    <d v="2012-10-30T00:00:00"/>
    <s v="2DA-OCT"/>
    <n v="0.1"/>
    <x v="1"/>
    <s v="BANCOMER"/>
    <m/>
    <n v="563000"/>
    <n v="112600"/>
    <n v="450400"/>
    <n v="0"/>
    <n v="112600"/>
    <x v="4"/>
    <n v="0.8"/>
    <d v="2012-06-12T00:00:00"/>
    <d v="2012-06-12T00:00:00"/>
    <d v="2012-06-1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1"/>
    <s v="PTA NORTE "/>
    <s v="020814"/>
    <n v="2"/>
    <n v="8"/>
    <n v="14"/>
    <s v="ESTRELLA PONIENTE"/>
    <m/>
    <x v="0"/>
    <n v="80"/>
    <m/>
    <s v="MARINE"/>
    <x v="1"/>
    <n v="1135000"/>
    <n v="170"/>
    <d v="2012-10-30T00:00:00"/>
    <s v="2DA-OCT"/>
    <n v="0.1"/>
    <x v="1"/>
    <s v="BANCOMER"/>
    <m/>
    <n v="567500"/>
    <n v="113500"/>
    <n v="454000"/>
    <n v="0"/>
    <n v="113500"/>
    <x v="4"/>
    <n v="0.8"/>
    <d v="2012-07-28T00:00:00"/>
    <d v="2012-07-28T00:00:00"/>
    <d v="2012-07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2"/>
    <s v="PTA NORTE "/>
    <s v="020815"/>
    <n v="2"/>
    <n v="8"/>
    <n v="15"/>
    <s v="ESTRELLA PONIENTE"/>
    <m/>
    <x v="0"/>
    <n v="80"/>
    <m/>
    <s v="AKUA"/>
    <x v="1"/>
    <n v="1126000"/>
    <n v="171"/>
    <d v="2012-10-30T00:00:00"/>
    <s v="2DA-OCT"/>
    <n v="0.1"/>
    <x v="1"/>
    <s v="BANCOMER"/>
    <m/>
    <n v="563000"/>
    <n v="112600"/>
    <n v="450400"/>
    <n v="0"/>
    <n v="112600"/>
    <x v="4"/>
    <n v="0.8"/>
    <d v="2012-07-23T00:00:00"/>
    <d v="2012-07-23T00:00:00"/>
    <d v="2012-07-2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1"/>
    <x v="1"/>
    <x v="1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3"/>
    <s v="PTA NORTE "/>
    <s v="020816"/>
    <n v="2"/>
    <n v="8"/>
    <n v="16"/>
    <s v="ESTRELLA PONIENTE"/>
    <m/>
    <x v="0"/>
    <n v="80"/>
    <m/>
    <s v="AKUA"/>
    <x v="1"/>
    <n v="1126000"/>
    <n v="172"/>
    <d v="2012-10-30T00:00:00"/>
    <s v="2DA-OCT"/>
    <n v="0.1"/>
    <x v="1"/>
    <s v="BANCOMER"/>
    <m/>
    <n v="563000"/>
    <n v="112600"/>
    <n v="450400"/>
    <n v="0"/>
    <n v="112600"/>
    <x v="4"/>
    <n v="0.8"/>
    <d v="2012-07-18T00:00:00"/>
    <d v="2012-07-18T00:00:00"/>
    <d v="2012-07-1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2"/>
    <x v="2"/>
    <x v="2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4"/>
    <s v="PTA NORTE "/>
    <s v="020817"/>
    <n v="2"/>
    <n v="8"/>
    <n v="17"/>
    <s v="ESTRELLA PONIENTE"/>
    <m/>
    <x v="0"/>
    <n v="80"/>
    <m/>
    <s v="MARINE"/>
    <x v="1"/>
    <n v="1135000"/>
    <n v="173"/>
    <d v="2012-10-30T00:00:00"/>
    <s v="2DA-OCT"/>
    <n v="0.1"/>
    <x v="1"/>
    <s v="BANCOMER"/>
    <m/>
    <n v="567500"/>
    <n v="113500"/>
    <n v="454000"/>
    <n v="0"/>
    <n v="113500"/>
    <x v="4"/>
    <n v="0.8"/>
    <d v="2012-07-13T00:00:00"/>
    <d v="2012-07-13T00:00:00"/>
    <d v="2012-07-1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5"/>
    <s v="PTA NORTE "/>
    <s v="020818"/>
    <n v="2"/>
    <n v="8"/>
    <n v="18"/>
    <s v="ESTRELLA PONIENTE"/>
    <m/>
    <x v="0"/>
    <n v="80"/>
    <m/>
    <s v="AKUA"/>
    <x v="1"/>
    <n v="1126000"/>
    <n v="174"/>
    <d v="2012-10-30T00:00:00"/>
    <s v="2DA-OCT"/>
    <n v="0.1"/>
    <x v="1"/>
    <s v="BANCOMER"/>
    <m/>
    <n v="563000"/>
    <n v="112600"/>
    <n v="450400"/>
    <n v="0"/>
    <n v="112600"/>
    <x v="4"/>
    <n v="0.8"/>
    <d v="2012-07-07T00:00:00"/>
    <d v="2012-07-07T00:00:00"/>
    <d v="2012-07-0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4"/>
    <x v="4"/>
    <x v="4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6"/>
    <s v="PTA NORTE "/>
    <s v="020819"/>
    <n v="2"/>
    <n v="8"/>
    <n v="19"/>
    <s v="ESTRELLA PONIENTE"/>
    <m/>
    <x v="0"/>
    <n v="80"/>
    <m/>
    <s v="AKUA"/>
    <x v="1"/>
    <n v="1126000"/>
    <n v="175"/>
    <d v="2012-10-30T00:00:00"/>
    <s v="2DA-OCT"/>
    <n v="0.1"/>
    <x v="1"/>
    <s v="BANCOMER"/>
    <m/>
    <n v="563000"/>
    <n v="112600"/>
    <n v="450400"/>
    <n v="0"/>
    <n v="112600"/>
    <x v="4"/>
    <n v="0.8"/>
    <d v="2012-07-03T00:00:00"/>
    <d v="2012-07-03T00:00:00"/>
    <d v="2012-07-0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5"/>
    <x v="5"/>
    <x v="5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7"/>
    <s v="PTA NORTE "/>
    <s v="020820"/>
    <n v="2"/>
    <n v="8"/>
    <n v="20"/>
    <s v="ESTRELLA PONIENTE"/>
    <m/>
    <x v="0"/>
    <n v="81.62"/>
    <m/>
    <s v="MARINE"/>
    <x v="1"/>
    <n v="1141156"/>
    <n v="176"/>
    <d v="2012-10-30T00:00:00"/>
    <s v="2DA-OCT"/>
    <n v="0.1"/>
    <x v="1"/>
    <s v="BANCOMER"/>
    <m/>
    <n v="570578"/>
    <n v="114115.6"/>
    <n v="456462.4"/>
    <n v="0"/>
    <n v="114115.6"/>
    <x v="4"/>
    <n v="0.8"/>
    <d v="2012-07-02T00:00:00"/>
    <d v="2012-07-02T00:00:00"/>
    <d v="2012-07-0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803.853333333333"/>
    <n v="3803.853333333333"/>
    <n v="3803.853333333333"/>
    <m/>
    <m/>
    <m/>
    <m/>
    <x v="5"/>
    <s v="ND"/>
    <s v="ND"/>
    <s v="ND"/>
    <s v="NA"/>
    <s v=""/>
    <s v="NA"/>
    <s v=""/>
    <s v="NA"/>
    <s v=""/>
    <x v="3"/>
    <s v="NA"/>
    <s v="NA"/>
    <x v="6"/>
    <x v="6"/>
    <x v="6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8"/>
    <s v="PTA NORTE "/>
    <s v="020901"/>
    <n v="2"/>
    <n v="9"/>
    <n v="1"/>
    <s v="ESTRELLA NORTE"/>
    <m/>
    <x v="4"/>
    <n v="81.495999999999995"/>
    <m/>
    <s v="MARINE"/>
    <x v="2"/>
    <n v="1140684.8"/>
    <n v="177"/>
    <d v="2012-08-15T00:00:00"/>
    <s v="2DA-AGO"/>
    <n v="1"/>
    <x v="0"/>
    <s v="SANTANDER"/>
    <d v="2012-06-01T00:00:00"/>
    <n v="570342.40000000002"/>
    <n v="114068.48000000001"/>
    <n v="0"/>
    <n v="114068.48000000001"/>
    <n v="0"/>
    <x v="4"/>
    <n v="0.8"/>
    <d v="2012-06-28T00:00:00"/>
    <d v="2012-06-28T00:00:00"/>
    <d v="2012-06-28T00:00:00"/>
    <d v="2012-03-30T00:00:00"/>
    <x v="1"/>
    <s v="JOSE LUIS CASILLAS DIAZ"/>
    <m/>
    <m/>
    <m/>
    <m/>
    <m/>
    <m/>
    <n v="32168543"/>
    <n v="3215436"/>
    <m/>
    <s v="SEM 13"/>
    <s v="MAR"/>
    <n v="12000"/>
    <x v="3"/>
    <x v="3"/>
    <x v="0"/>
    <s v="COFINAVIT"/>
    <x v="1"/>
    <d v="2012-03-30T00:00:00"/>
    <x v="6"/>
    <d v="2012-04-07T00:00:00"/>
    <d v="2012-04-14T00:00:00"/>
    <d v="2012-04-14T00:00:00"/>
    <m/>
    <d v="2012-04-26T00:00:00"/>
    <m/>
    <m/>
    <n v="86"/>
    <m/>
    <x v="0"/>
    <x v="1"/>
    <x v="1"/>
    <n v="0.01"/>
    <n v="3802.2826666666665"/>
    <n v="3802.2826666666665"/>
    <n v="3802.2826666666665"/>
    <d v="2012-04-10T00:00:00"/>
    <d v="2012-04-30T00:00:00"/>
    <d v="2012-04-30T00:00:00"/>
    <m/>
    <x v="6"/>
    <s v="2DA-ABR-2012"/>
    <s v="2DA-ABR-2012"/>
    <s v="ND"/>
    <s v="SEM 13"/>
    <s v="MAR"/>
    <s v="SEM 17"/>
    <s v="ABR"/>
    <s v="NA"/>
    <s v=""/>
    <x v="4"/>
    <s v="MAYOR A 2 MESES"/>
    <s v="MAYOR A 2 MESES"/>
    <x v="7"/>
    <x v="7"/>
    <x v="7"/>
    <n v="30000"/>
    <n v="50000"/>
    <n v="120000"/>
    <m/>
    <m/>
    <m/>
    <m/>
    <m/>
    <m/>
    <m/>
    <m/>
    <s v="PAGADO"/>
    <s v="PAGADO"/>
    <m/>
    <m/>
    <m/>
    <m/>
    <m/>
    <m/>
    <m/>
    <m/>
    <n v="0"/>
    <n v="170000"/>
    <n v="0"/>
    <d v="2012-04-15T00:00:00"/>
    <d v="2012-04-30T00:00:00"/>
    <m/>
    <m/>
    <m/>
    <m/>
    <m/>
  </r>
  <r>
    <n v="139"/>
    <s v="PTA NORTE "/>
    <s v="020902"/>
    <n v="2"/>
    <n v="9"/>
    <n v="2"/>
    <s v="ESTRELLA NORTE"/>
    <m/>
    <x v="4"/>
    <n v="80"/>
    <m/>
    <s v="AKUA"/>
    <x v="2"/>
    <n v="1126000"/>
    <n v="178"/>
    <d v="2012-08-15T00:00:00"/>
    <s v="2DA-AGO"/>
    <n v="1"/>
    <x v="0"/>
    <s v="SANTANDER"/>
    <d v="2012-06-01T00:00:00"/>
    <n v="563000"/>
    <n v="112600"/>
    <n v="0"/>
    <n v="112600"/>
    <n v="0"/>
    <x v="4"/>
    <n v="0.8"/>
    <d v="2012-06-23T00:00:00"/>
    <d v="2012-06-23T00:00:00"/>
    <d v="2012-06-23T00:00:00"/>
    <d v="2012-03-30T00:00:00"/>
    <x v="1"/>
    <s v="CAROLINA AUZETA PRADO"/>
    <m/>
    <m/>
    <m/>
    <m/>
    <m/>
    <m/>
    <n v="3216543"/>
    <n v="665654"/>
    <m/>
    <s v="SEM 13"/>
    <s v="MAR"/>
    <n v="32000"/>
    <x v="4"/>
    <x v="3"/>
    <x v="0"/>
    <s v="ALIA2"/>
    <x v="0"/>
    <d v="2012-03-30T00:00:00"/>
    <x v="2"/>
    <d v="2012-04-05T00:00:00"/>
    <d v="2012-04-20T00:00:00"/>
    <d v="2012-04-20T00:00:00"/>
    <m/>
    <d v="2012-05-05T00:00:00"/>
    <d v="2012-05-15T00:00:00"/>
    <m/>
    <n v="58"/>
    <d v="2012-05-30T00:00:00"/>
    <x v="0"/>
    <x v="1"/>
    <x v="1"/>
    <n v="0.01"/>
    <n v="3753.3333333333335"/>
    <n v="3753.3333333333335"/>
    <n v="3753.3333333333335"/>
    <d v="2012-04-06T00:00:00"/>
    <d v="2012-04-30T00:00:00"/>
    <d v="2012-05-15T00:00:00"/>
    <m/>
    <x v="6"/>
    <s v="2DA-ABR-2012"/>
    <s v="2DA-MAY-2012"/>
    <s v="ND"/>
    <s v="SEM 13"/>
    <s v="MAR"/>
    <s v="SEM 18"/>
    <s v="MAY"/>
    <s v="SEM 22"/>
    <s v="MAY"/>
    <x v="5"/>
    <s v="MAYOR A 2 MESES"/>
    <s v="MAYOR A 2 MESES"/>
    <x v="8"/>
    <x v="8"/>
    <x v="8"/>
    <n v="30000"/>
    <n v="50000"/>
    <n v="75000"/>
    <m/>
    <m/>
    <m/>
    <m/>
    <m/>
    <m/>
    <m/>
    <m/>
    <s v="PAGADO"/>
    <s v="PAGADO"/>
    <m/>
    <m/>
    <m/>
    <m/>
    <m/>
    <m/>
    <m/>
    <m/>
    <n v="0"/>
    <n v="125000"/>
    <n v="0"/>
    <d v="2012-04-15T00:00:00"/>
    <d v="2012-05-01T00:00:00"/>
    <m/>
    <m/>
    <m/>
    <m/>
    <m/>
  </r>
  <r>
    <n v="140"/>
    <s v="PTA NORTE "/>
    <s v="020903"/>
    <n v="2"/>
    <n v="9"/>
    <n v="3"/>
    <s v="ESTRELLA NORTE"/>
    <m/>
    <x v="2"/>
    <n v="80"/>
    <m/>
    <s v="AKUA"/>
    <x v="2"/>
    <n v="1126000"/>
    <n v="179"/>
    <d v="2012-08-15T00:00:00"/>
    <s v="2DA-AGO"/>
    <n v="0.8"/>
    <x v="0"/>
    <s v="SANTANDER"/>
    <d v="2012-06-01T00:00:00"/>
    <n v="563000"/>
    <n v="444770"/>
    <n v="0"/>
    <n v="444770"/>
    <n v="0"/>
    <x v="5"/>
    <n v="0.19999999999999996"/>
    <d v="2012-06-17T00:00:00"/>
    <d v="2012-06-17T00:00:00"/>
    <d v="2012-06-1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1"/>
    <s v="PTA NORTE "/>
    <s v="020904"/>
    <n v="2"/>
    <n v="9"/>
    <n v="4"/>
    <s v="ESTRELLA NORTE"/>
    <m/>
    <x v="2"/>
    <n v="80"/>
    <m/>
    <s v="MARINE"/>
    <x v="2"/>
    <n v="1135000"/>
    <n v="180"/>
    <d v="2012-08-15T00:00:00"/>
    <s v="2DA-AGO"/>
    <n v="0.8"/>
    <x v="0"/>
    <s v="SANTANDER"/>
    <d v="2012-06-01T00:00:00"/>
    <n v="567500"/>
    <n v="448325"/>
    <n v="0"/>
    <n v="448325"/>
    <n v="0"/>
    <x v="5"/>
    <n v="0.19999999999999996"/>
    <d v="2012-06-12T00:00:00"/>
    <d v="2012-06-12T00:00:00"/>
    <d v="2012-06-1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2"/>
    <s v="PTA NORTE "/>
    <s v="020905"/>
    <n v="2"/>
    <n v="9"/>
    <n v="5"/>
    <s v="ESTRELLA NORTE"/>
    <m/>
    <x v="3"/>
    <n v="80"/>
    <m/>
    <s v="AKUA"/>
    <x v="2"/>
    <n v="1126000"/>
    <n v="181"/>
    <d v="2012-08-15T00:00:00"/>
    <s v="2DA-AGO"/>
    <n v="0.8"/>
    <x v="0"/>
    <s v="SANTANDER"/>
    <d v="2012-06-01T00:00:00"/>
    <n v="563000"/>
    <n v="444770"/>
    <n v="0"/>
    <n v="444770"/>
    <n v="0"/>
    <x v="5"/>
    <n v="0.19999999999999996"/>
    <d v="2012-07-28T00:00:00"/>
    <d v="2012-07-28T00:00:00"/>
    <d v="2012-07-28T00:00:00"/>
    <d v="2012-04-20T00:00:00"/>
    <x v="1"/>
    <s v="JAVIER SANCHEZ LEDEZMA"/>
    <m/>
    <m/>
    <m/>
    <m/>
    <m/>
    <m/>
    <n v="32516351"/>
    <n v="651"/>
    <n v="351"/>
    <s v="SEM 16"/>
    <s v="ABR"/>
    <n v="7000"/>
    <x v="3"/>
    <x v="4"/>
    <x v="0"/>
    <s v="OTROS"/>
    <x v="0"/>
    <d v="2012-04-30T00:00:00"/>
    <x v="1"/>
    <d v="2012-05-05T00:00:00"/>
    <d v="2012-08-20T00:00:00"/>
    <d v="2012-05-05T00:00:00"/>
    <m/>
    <m/>
    <m/>
    <m/>
    <n v="86"/>
    <m/>
    <x v="0"/>
    <x v="0"/>
    <x v="0"/>
    <n v="0.01"/>
    <n v="3753.3333333333335"/>
    <n v="3753.3333333333335"/>
    <n v="3753.3333333333335"/>
    <d v="2012-05-15T00:00:00"/>
    <m/>
    <m/>
    <m/>
    <x v="4"/>
    <s v="ND"/>
    <s v="ND"/>
    <s v="ND"/>
    <s v="SEM 18"/>
    <s v="ABR"/>
    <s v="NA"/>
    <s v=""/>
    <s v="NA"/>
    <s v=""/>
    <x v="6"/>
    <s v="MAYOR A 2 MESES"/>
    <s v="NA"/>
    <x v="0"/>
    <x v="0"/>
    <x v="0"/>
    <n v="30000"/>
    <n v="10000"/>
    <n v="5000"/>
    <n v="50000"/>
    <n v="10000"/>
    <n v="50000"/>
    <m/>
    <m/>
    <m/>
    <m/>
    <m/>
    <s v="PAGADO"/>
    <s v="PAGADO"/>
    <s v="PAGADO"/>
    <s v="PAGADO"/>
    <s v="VIGENTE"/>
    <m/>
    <m/>
    <m/>
    <m/>
    <m/>
    <n v="50000"/>
    <n v="75000"/>
    <n v="0"/>
    <d v="2012-05-15T00:00:00"/>
    <d v="2012-05-30T00:00:00"/>
    <d v="2012-06-14T00:00:00"/>
    <d v="2012-06-29T00:00:00"/>
    <d v="2012-07-29T00:00:00"/>
    <m/>
    <m/>
  </r>
  <r>
    <n v="143"/>
    <s v="PTA NORTE "/>
    <s v="020906"/>
    <n v="2"/>
    <n v="9"/>
    <n v="6"/>
    <s v="ESTRELLA NORTE"/>
    <m/>
    <x v="3"/>
    <n v="80"/>
    <m/>
    <s v="AKUA"/>
    <x v="2"/>
    <n v="1126000"/>
    <n v="182"/>
    <d v="2012-08-15T00:00:00"/>
    <s v="2DA-AGO"/>
    <n v="0.8"/>
    <x v="0"/>
    <s v="SANTANDER"/>
    <d v="2012-06-01T00:00:00"/>
    <n v="563000"/>
    <n v="444770"/>
    <n v="0"/>
    <n v="444770"/>
    <n v="0"/>
    <x v="5"/>
    <n v="0.19999999999999996"/>
    <d v="2012-07-23T00:00:00"/>
    <d v="2012-07-23T00:00:00"/>
    <d v="2012-07-23T00:00:00"/>
    <d v="2012-04-20T00:00:00"/>
    <x v="1"/>
    <s v="ANA PEREZ DEL TORO"/>
    <m/>
    <m/>
    <m/>
    <m/>
    <m/>
    <m/>
    <n v="36514654"/>
    <n v="651"/>
    <n v="321"/>
    <s v="SEM 16"/>
    <s v="ABR"/>
    <n v="8000"/>
    <x v="3"/>
    <x v="0"/>
    <x v="0"/>
    <s v="BANCOS"/>
    <x v="0"/>
    <d v="2012-04-20T00:00:00"/>
    <x v="7"/>
    <d v="2012-04-30T00:00:00"/>
    <d v="2012-08-20T00:00:00"/>
    <d v="2012-05-15T00:00:00"/>
    <m/>
    <m/>
    <m/>
    <m/>
    <n v="86"/>
    <m/>
    <x v="0"/>
    <x v="1"/>
    <x v="0"/>
    <n v="0.01"/>
    <n v="3753.3333333333335"/>
    <n v="3753.3333333333335"/>
    <n v="3753.3333333333335"/>
    <d v="2012-05-15T00:00:00"/>
    <d v="2012-05-30T00:00:00"/>
    <m/>
    <m/>
    <x v="4"/>
    <s v="2DA-MAY-2012"/>
    <s v="ND"/>
    <s v="ND"/>
    <s v="SEM 16"/>
    <s v="ABR"/>
    <s v="NA"/>
    <s v=""/>
    <s v="NA"/>
    <s v=""/>
    <x v="6"/>
    <s v="MAYOR A 2 MESES"/>
    <s v="NA"/>
    <x v="1"/>
    <x v="1"/>
    <x v="1"/>
    <n v="30000"/>
    <n v="5000"/>
    <n v="45000"/>
    <n v="15000"/>
    <n v="10000"/>
    <m/>
    <m/>
    <m/>
    <m/>
    <m/>
    <m/>
    <s v="PAGADO"/>
    <s v="PAGADO"/>
    <s v="PAGADO"/>
    <s v="VENCIDO"/>
    <m/>
    <m/>
    <m/>
    <m/>
    <m/>
    <m/>
    <n v="0"/>
    <n v="65000"/>
    <n v="10000"/>
    <d v="2012-05-05T00:00:00"/>
    <d v="2012-05-20T00:00:00"/>
    <d v="2012-06-04T00:00:00"/>
    <d v="2012-06-19T00:00:00"/>
    <m/>
    <m/>
    <m/>
  </r>
  <r>
    <n v="144"/>
    <s v="PTA NORTE "/>
    <s v="020907"/>
    <n v="2"/>
    <n v="9"/>
    <n v="7"/>
    <s v="ESTRELLA NORTE"/>
    <m/>
    <x v="3"/>
    <n v="80"/>
    <m/>
    <s v="MARINE"/>
    <x v="2"/>
    <n v="1135000"/>
    <n v="183"/>
    <d v="2012-08-15T00:00:00"/>
    <s v="2DA-AGO"/>
    <n v="0.8"/>
    <x v="0"/>
    <s v="SANTANDER"/>
    <d v="2012-06-01T00:00:00"/>
    <n v="567500"/>
    <n v="448325"/>
    <n v="0"/>
    <n v="448325"/>
    <n v="0"/>
    <x v="5"/>
    <n v="0.19999999999999996"/>
    <d v="2012-07-18T00:00:00"/>
    <d v="2012-07-18T00:00:00"/>
    <d v="2012-07-18T00:00:00"/>
    <d v="2012-05-01T00:00:00"/>
    <x v="1"/>
    <s v="LUIS SMITH CARMONA"/>
    <m/>
    <m/>
    <m/>
    <m/>
    <m/>
    <m/>
    <n v="6546546"/>
    <n v="651361361"/>
    <n v="321"/>
    <s v="SEM 18"/>
    <s v="MAY"/>
    <n v="15000"/>
    <x v="2"/>
    <x v="0"/>
    <x v="0"/>
    <s v="FOVISSSTE"/>
    <x v="0"/>
    <d v="2012-05-05T00:00:00"/>
    <x v="7"/>
    <d v="2012-05-10T00:00:00"/>
    <d v="2012-08-20T00:00:00"/>
    <d v="2012-05-10T00:00:00"/>
    <m/>
    <m/>
    <m/>
    <m/>
    <n v="130"/>
    <m/>
    <x v="0"/>
    <x v="1"/>
    <x v="0"/>
    <n v="0.01"/>
    <n v="3783.3333333333335"/>
    <n v="3783.3333333333335"/>
    <n v="3783.3333333333335"/>
    <d v="2012-05-15T00:00:00"/>
    <d v="2012-05-15T00:00:00"/>
    <m/>
    <m/>
    <x v="4"/>
    <s v="2DA-MAY-2012"/>
    <s v="ND"/>
    <s v="ND"/>
    <s v="SEM 18"/>
    <s v="MAY"/>
    <s v="NA"/>
    <s v=""/>
    <s v="NA"/>
    <s v=""/>
    <x v="6"/>
    <s v="MAYOR A 2 MESES"/>
    <s v="NA"/>
    <x v="2"/>
    <x v="2"/>
    <x v="2"/>
    <n v="30000"/>
    <n v="110000"/>
    <n v="10000"/>
    <m/>
    <m/>
    <m/>
    <m/>
    <m/>
    <m/>
    <m/>
    <m/>
    <s v="PAGADO"/>
    <s v="VENCIDO"/>
    <m/>
    <m/>
    <m/>
    <m/>
    <m/>
    <m/>
    <m/>
    <m/>
    <n v="0"/>
    <n v="110000"/>
    <n v="10000"/>
    <d v="2012-05-20T00:00:00"/>
    <d v="2012-06-04T00:00:00"/>
    <m/>
    <m/>
    <m/>
    <m/>
    <m/>
  </r>
  <r>
    <n v="145"/>
    <s v="PTA NORTE "/>
    <s v="020908"/>
    <n v="2"/>
    <n v="9"/>
    <n v="8"/>
    <s v="ESTRELLA NORTE"/>
    <m/>
    <x v="3"/>
    <n v="80"/>
    <m/>
    <s v="AKUA"/>
    <x v="2"/>
    <n v="1126000"/>
    <n v="184"/>
    <d v="2012-08-15T00:00:00"/>
    <s v="2DA-AGO"/>
    <n v="0.9"/>
    <x v="0"/>
    <s v="SANTANDER"/>
    <d v="2012-06-01T00:00:00"/>
    <n v="563000"/>
    <n v="444770"/>
    <n v="0"/>
    <n v="444770"/>
    <n v="0"/>
    <x v="5"/>
    <n v="0.19999999999999996"/>
    <d v="2012-07-13T00:00:00"/>
    <d v="2012-07-13T00:00:00"/>
    <d v="2012-07-13T00:00:00"/>
    <d v="2012-05-01T00:00:00"/>
    <x v="1"/>
    <s v="JUAN VELASCO ELIZONDO"/>
    <m/>
    <m/>
    <m/>
    <m/>
    <m/>
    <m/>
    <n v="3654684"/>
    <n v="651"/>
    <n v="321"/>
    <s v="SEM 18"/>
    <s v="MAY"/>
    <n v="21000"/>
    <x v="1"/>
    <x v="5"/>
    <x v="0"/>
    <s v="BANCOS"/>
    <x v="0"/>
    <d v="2012-05-03T00:00:00"/>
    <x v="1"/>
    <d v="2012-05-10T00:00:00"/>
    <d v="2012-08-20T00:00:00"/>
    <d v="2012-05-15T00:00:00"/>
    <m/>
    <m/>
    <m/>
    <m/>
    <n v="130"/>
    <m/>
    <x v="0"/>
    <x v="0"/>
    <x v="0"/>
    <n v="0.01"/>
    <n v="3753.3333333333335"/>
    <n v="3753.3333333333335"/>
    <n v="3753.3333333333335"/>
    <d v="2012-05-15T00:00:00"/>
    <m/>
    <m/>
    <m/>
    <x v="4"/>
    <s v="ND"/>
    <s v="ND"/>
    <s v="ND"/>
    <s v="SEM 18"/>
    <s v="MAY"/>
    <s v="NA"/>
    <s v=""/>
    <s v="NA"/>
    <s v=""/>
    <x v="6"/>
    <s v="MAYOR A 2 MESES"/>
    <s v="NA"/>
    <x v="3"/>
    <x v="3"/>
    <x v="3"/>
    <n v="5000"/>
    <n v="10000"/>
    <n v="50000"/>
    <n v="100000"/>
    <n v="5000"/>
    <n v="50000"/>
    <n v="10000"/>
    <m/>
    <m/>
    <m/>
    <m/>
    <s v="PAGADO"/>
    <s v="PAGADO"/>
    <s v="PAGADO"/>
    <s v="PAGADO"/>
    <s v="VIGENTE"/>
    <s v="VIGENTE"/>
    <m/>
    <m/>
    <m/>
    <m/>
    <n v="60000"/>
    <n v="165000"/>
    <n v="0"/>
    <d v="2012-05-18T00:00:00"/>
    <d v="2012-06-02T00:00:00"/>
    <d v="2012-06-17T00:00:00"/>
    <d v="2012-07-02T00:00:00"/>
    <d v="2012-07-22T00:00:00"/>
    <d v="2012-07-30T00:00:00"/>
    <m/>
  </r>
  <r>
    <n v="146"/>
    <s v="PTA NORTE "/>
    <s v="020909"/>
    <n v="2"/>
    <n v="9"/>
    <n v="9"/>
    <s v="ESTRELLA NORTE"/>
    <m/>
    <x v="0"/>
    <n v="80"/>
    <m/>
    <s v="MARINE"/>
    <x v="1"/>
    <n v="1135000"/>
    <n v="185"/>
    <d v="2012-10-30T00:00:00"/>
    <s v="2DA-OCT"/>
    <n v="0.1"/>
    <x v="1"/>
    <s v="BANCOMER"/>
    <m/>
    <n v="567500"/>
    <n v="448325"/>
    <n v="119175"/>
    <n v="0"/>
    <n v="448325"/>
    <x v="5"/>
    <n v="0.19999999999999996"/>
    <d v="2012-07-07T00:00:00"/>
    <d v="2012-07-07T00:00:00"/>
    <d v="2012-07-0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4"/>
    <x v="4"/>
    <x v="4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7"/>
    <s v="PTA NORTE "/>
    <s v="020910"/>
    <n v="2"/>
    <n v="9"/>
    <n v="10"/>
    <s v="ESTRELLA NORTE"/>
    <m/>
    <x v="0"/>
    <n v="80"/>
    <m/>
    <s v="AKUA"/>
    <x v="1"/>
    <n v="1126000"/>
    <n v="186"/>
    <d v="2012-10-30T00:00:00"/>
    <s v="2DA-OCT"/>
    <n v="0.1"/>
    <x v="1"/>
    <s v="BANCOMER"/>
    <m/>
    <n v="563000"/>
    <n v="444770"/>
    <n v="118230"/>
    <n v="0"/>
    <n v="444770"/>
    <x v="5"/>
    <n v="0.19999999999999996"/>
    <d v="2012-07-03T00:00:00"/>
    <d v="2012-07-03T00:00:00"/>
    <d v="2012-07-0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5"/>
    <x v="5"/>
    <x v="5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8"/>
    <s v="PTA NORTE "/>
    <s v="020911"/>
    <n v="2"/>
    <n v="9"/>
    <n v="11"/>
    <s v="ESTRELLA NORTE"/>
    <m/>
    <x v="0"/>
    <n v="80"/>
    <m/>
    <s v="AKUA"/>
    <x v="1"/>
    <n v="1126000"/>
    <n v="187"/>
    <d v="2012-10-30T00:00:00"/>
    <s v="2DA-OCT"/>
    <n v="0.1"/>
    <x v="1"/>
    <s v="BANCOMER"/>
    <m/>
    <n v="563000"/>
    <n v="444770"/>
    <n v="118230"/>
    <n v="0"/>
    <n v="444770"/>
    <x v="5"/>
    <n v="0.19999999999999996"/>
    <d v="2012-07-02T00:00:00"/>
    <d v="2012-07-02T00:00:00"/>
    <d v="2012-07-0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6"/>
    <x v="6"/>
    <x v="6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9"/>
    <s v="PTA NORTE "/>
    <s v="020912"/>
    <n v="2"/>
    <n v="9"/>
    <n v="12"/>
    <s v="ESTRELLA NORTE"/>
    <m/>
    <x v="0"/>
    <n v="80"/>
    <m/>
    <s v="MARINE"/>
    <x v="1"/>
    <n v="1135000"/>
    <n v="188"/>
    <d v="2012-10-30T00:00:00"/>
    <s v="2DA-OCT"/>
    <n v="0.1"/>
    <x v="1"/>
    <s v="BANCOMER"/>
    <m/>
    <n v="567500"/>
    <n v="448325"/>
    <n v="119175"/>
    <n v="0"/>
    <n v="448325"/>
    <x v="5"/>
    <n v="0.19999999999999996"/>
    <d v="2012-06-28T00:00:00"/>
    <d v="2012-06-28T00:00:00"/>
    <d v="2012-06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0"/>
    <s v="PTA NORTE "/>
    <s v="020913"/>
    <n v="2"/>
    <n v="9"/>
    <n v="13"/>
    <s v="ESTRELLA NORTE"/>
    <m/>
    <x v="3"/>
    <n v="80"/>
    <m/>
    <s v="AKUA"/>
    <x v="2"/>
    <n v="1126000"/>
    <n v="189"/>
    <d v="2012-08-15T00:00:00"/>
    <s v="2DA-AGO"/>
    <n v="0.9"/>
    <x v="0"/>
    <s v="SANTANDER"/>
    <d v="2012-06-01T00:00:00"/>
    <n v="563000"/>
    <n v="444770"/>
    <n v="0"/>
    <n v="444770"/>
    <n v="0"/>
    <x v="5"/>
    <n v="0.19999999999999996"/>
    <d v="2012-06-23T00:00:00"/>
    <d v="2012-06-23T00:00:00"/>
    <d v="2012-06-23T00:00:00"/>
    <d v="2012-05-01T00:00:00"/>
    <x v="1"/>
    <s v="ALBERTO ARIAS GARCIA"/>
    <m/>
    <m/>
    <m/>
    <m/>
    <m/>
    <m/>
    <n v="654654"/>
    <n v="651"/>
    <n v="32132"/>
    <s v="SEM 18"/>
    <s v="MAY"/>
    <n v="44000"/>
    <x v="5"/>
    <x v="6"/>
    <x v="0"/>
    <s v="IPEJAL"/>
    <x v="3"/>
    <d v="2012-05-01T00:00:00"/>
    <x v="7"/>
    <d v="2012-05-05T00:00:00"/>
    <d v="2012-08-20T00:00:00"/>
    <d v="2012-07-15T00:00:00"/>
    <m/>
    <m/>
    <m/>
    <m/>
    <n v="130"/>
    <m/>
    <x v="0"/>
    <x v="1"/>
    <x v="0"/>
    <n v="0.01"/>
    <n v="3753.3333333333335"/>
    <n v="3753.3333333333335"/>
    <n v="3753.3333333333335"/>
    <d v="2012-05-15T00:00:00"/>
    <d v="2012-07-30T00:00:00"/>
    <m/>
    <m/>
    <x v="4"/>
    <s v="2DA-JUL-2012"/>
    <s v="ND"/>
    <s v="ND"/>
    <s v="SEM 18"/>
    <s v="MAY"/>
    <s v="NA"/>
    <s v=""/>
    <s v="NA"/>
    <s v=""/>
    <x v="6"/>
    <s v="MAYOR A 2 MESES"/>
    <s v="NA"/>
    <x v="8"/>
    <x v="8"/>
    <x v="8"/>
    <n v="5000"/>
    <n v="20000"/>
    <n v="10000"/>
    <m/>
    <m/>
    <m/>
    <m/>
    <m/>
    <m/>
    <m/>
    <m/>
    <s v="PAGADO"/>
    <s v="PAGADO"/>
    <m/>
    <m/>
    <m/>
    <m/>
    <m/>
    <m/>
    <m/>
    <m/>
    <n v="0"/>
    <n v="30000"/>
    <n v="0"/>
    <d v="2012-05-16T00:00:00"/>
    <d v="2012-05-31T00:00:00"/>
    <m/>
    <m/>
    <m/>
    <m/>
    <m/>
  </r>
  <r>
    <n v="151"/>
    <s v="PTA NORTE "/>
    <s v="020914"/>
    <n v="2"/>
    <n v="9"/>
    <n v="14"/>
    <s v="ESTRELLA NORTE"/>
    <m/>
    <x v="3"/>
    <n v="80"/>
    <m/>
    <s v="AKUA"/>
    <x v="2"/>
    <n v="1126000"/>
    <n v="190"/>
    <d v="2012-08-15T00:00:00"/>
    <s v="2DA-AGO"/>
    <n v="0.9"/>
    <x v="0"/>
    <s v="SANTANDER"/>
    <d v="2012-06-01T00:00:00"/>
    <n v="563000"/>
    <n v="444770"/>
    <n v="0"/>
    <n v="444770"/>
    <n v="0"/>
    <x v="5"/>
    <n v="0.19999999999999996"/>
    <d v="2012-06-17T00:00:00"/>
    <d v="2012-06-17T00:00:00"/>
    <d v="2012-06-17T00:00:00"/>
    <d v="2012-06-14T00:00:00"/>
    <x v="2"/>
    <s v="ESTEFANIA DEL TORO ENRIQUEZ"/>
    <m/>
    <m/>
    <m/>
    <m/>
    <m/>
    <m/>
    <n v="654654"/>
    <n v="361"/>
    <n v="1321"/>
    <s v="SEM 24"/>
    <s v="JUN"/>
    <n v="17000"/>
    <x v="2"/>
    <x v="6"/>
    <x v="0"/>
    <s v="INFONAVIT"/>
    <x v="3"/>
    <d v="2012-06-30T00:00:00"/>
    <x v="8"/>
    <d v="2012-06-30T00:00:00"/>
    <d v="2012-08-20T00:00:00"/>
    <d v="2012-07-10T00:00:00"/>
    <m/>
    <m/>
    <m/>
    <m/>
    <n v="130"/>
    <m/>
    <x v="0"/>
    <x v="1"/>
    <x v="0"/>
    <n v="0.01"/>
    <n v="3753.3333333333335"/>
    <n v="3753.3333333333335"/>
    <n v="3753.3333333333335"/>
    <d v="2012-07-15T00:00:00"/>
    <d v="2012-07-15T00:00:00"/>
    <m/>
    <m/>
    <x v="1"/>
    <s v="2DA-JUL-2012"/>
    <s v="ND"/>
    <s v="ND"/>
    <s v="SEM 26"/>
    <s v="JUN"/>
    <s v="NA"/>
    <s v=""/>
    <s v="NA"/>
    <s v=""/>
    <x v="6"/>
    <s v="5TA SEM"/>
    <s v="NA"/>
    <x v="8"/>
    <x v="8"/>
    <x v="8"/>
    <n v="30000"/>
    <n v="15000"/>
    <n v="12000"/>
    <m/>
    <m/>
    <m/>
    <m/>
    <m/>
    <m/>
    <m/>
    <m/>
    <s v="PAGADO"/>
    <s v="VIGENTE"/>
    <m/>
    <m/>
    <m/>
    <m/>
    <m/>
    <m/>
    <m/>
    <m/>
    <n v="12000"/>
    <n v="15000"/>
    <n v="0"/>
    <d v="2012-07-15T00:00:00"/>
    <d v="2012-07-30T00:00:00"/>
    <m/>
    <m/>
    <m/>
    <m/>
    <m/>
  </r>
  <r>
    <n v="152"/>
    <s v="PTA NORTE "/>
    <s v="020915"/>
    <n v="2"/>
    <n v="9"/>
    <n v="15"/>
    <s v="ESTRELLA NORTE"/>
    <m/>
    <x v="3"/>
    <n v="81.311000000000007"/>
    <m/>
    <s v="MARINE"/>
    <x v="2"/>
    <n v="1139981.8"/>
    <n v="191"/>
    <d v="2012-08-15T00:00:00"/>
    <s v="2DA-AGO"/>
    <n v="0.9"/>
    <x v="0"/>
    <s v="SANTANDER"/>
    <d v="2012-06-01T00:00:00"/>
    <n v="569990.9"/>
    <n v="450292.81100000005"/>
    <n v="0"/>
    <n v="450292.81100000005"/>
    <n v="0"/>
    <x v="5"/>
    <n v="0.19999999999999996"/>
    <d v="2012-06-12T00:00:00"/>
    <d v="2012-06-12T00:00:00"/>
    <d v="2012-06-12T00:00:00"/>
    <d v="2012-05-20T00:00:00"/>
    <x v="1"/>
    <s v="ANDREA OLEA DE ANDA"/>
    <m/>
    <m/>
    <m/>
    <m/>
    <m/>
    <m/>
    <n v="6588464"/>
    <n v="321"/>
    <n v="312"/>
    <s v="SEM 21"/>
    <s v="MAY"/>
    <n v="23000"/>
    <x v="1"/>
    <x v="6"/>
    <x v="0"/>
    <s v="ALIA2"/>
    <x v="3"/>
    <d v="2012-05-30T00:00:00"/>
    <x v="8"/>
    <d v="2012-06-01T00:00:00"/>
    <d v="2012-08-20T00:00:00"/>
    <d v="2012-06-15T00:00:00"/>
    <m/>
    <m/>
    <m/>
    <m/>
    <n v="130"/>
    <m/>
    <x v="0"/>
    <x v="1"/>
    <x v="0"/>
    <n v="0.01"/>
    <n v="3799.9393333333337"/>
    <n v="3799.9393333333337"/>
    <n v="3799.9393333333337"/>
    <d v="2012-06-15T00:00:00"/>
    <d v="2012-06-30T00:00:00"/>
    <m/>
    <m/>
    <x v="0"/>
    <s v="2DA-JUN-2012"/>
    <s v="ND"/>
    <s v="ND"/>
    <s v="SEM 22"/>
    <s v="MAY"/>
    <s v="NA"/>
    <s v=""/>
    <s v="NA"/>
    <s v=""/>
    <x v="6"/>
    <s v="MAYOR A 2 MESES"/>
    <s v="NA"/>
    <x v="9"/>
    <x v="9"/>
    <x v="9"/>
    <n v="50000"/>
    <n v="10000"/>
    <n v="17000"/>
    <m/>
    <m/>
    <m/>
    <m/>
    <m/>
    <m/>
    <m/>
    <m/>
    <s v="VENCIDO"/>
    <s v="VENCIDO"/>
    <m/>
    <m/>
    <m/>
    <m/>
    <m/>
    <m/>
    <m/>
    <m/>
    <n v="0"/>
    <n v="0"/>
    <n v="27000"/>
    <d v="2012-06-14T00:00:00"/>
    <d v="2012-06-29T00:00:00"/>
    <m/>
    <m/>
    <m/>
    <m/>
    <m/>
  </r>
  <r>
    <n v="153"/>
    <s v="PTA NORTE "/>
    <s v="021001"/>
    <n v="2"/>
    <n v="10"/>
    <n v="1"/>
    <s v="ESTRELLA SUR"/>
    <m/>
    <x v="0"/>
    <n v="81.188000000000002"/>
    <m/>
    <s v="MARINE"/>
    <x v="1"/>
    <n v="1139514.3999999999"/>
    <n v="192"/>
    <d v="2012-10-30T00:00:00"/>
    <s v="2DA-OCT"/>
    <n v="0.1"/>
    <x v="1"/>
    <s v="BANCOMER"/>
    <m/>
    <n v="569757.19999999995"/>
    <n v="28487.86"/>
    <n v="541269.34"/>
    <n v="0"/>
    <n v="28487.86"/>
    <x v="6"/>
    <n v="0.95"/>
    <d v="2012-07-28T00:00:00"/>
    <d v="2012-07-28T00:00:00"/>
    <d v="2012-07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98.3813333333328"/>
    <n v="3798.3813333333328"/>
    <n v="3798.3813333333328"/>
    <m/>
    <m/>
    <m/>
    <m/>
    <x v="5"/>
    <s v="ND"/>
    <s v="ND"/>
    <s v="ND"/>
    <s v="NA"/>
    <s v=""/>
    <s v="NA"/>
    <s v=""/>
    <s v="NA"/>
    <s v=""/>
    <x v="3"/>
    <s v="NA"/>
    <s v="NA"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4"/>
    <s v="PTA NORTE "/>
    <s v="021002"/>
    <n v="2"/>
    <n v="10"/>
    <n v="2"/>
    <s v="ESTRELLA SUR"/>
    <m/>
    <x v="0"/>
    <n v="80"/>
    <m/>
    <s v="AKUA"/>
    <x v="1"/>
    <n v="1126000"/>
    <n v="193"/>
    <d v="2012-10-30T00:00:00"/>
    <s v="2DA-OCT"/>
    <n v="0.1"/>
    <x v="1"/>
    <s v="BANCOMER"/>
    <m/>
    <n v="563000"/>
    <n v="28150"/>
    <n v="534850"/>
    <n v="0"/>
    <n v="28150"/>
    <x v="6"/>
    <n v="0.95"/>
    <d v="2012-07-23T00:00:00"/>
    <d v="2012-07-23T00:00:00"/>
    <d v="2012-07-2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1"/>
    <x v="1"/>
    <x v="1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5"/>
    <s v="PTA NORTE "/>
    <s v="021003"/>
    <n v="2"/>
    <n v="10"/>
    <n v="3"/>
    <s v="ESTRELLA SUR"/>
    <m/>
    <x v="0"/>
    <n v="80"/>
    <m/>
    <s v="AKUA"/>
    <x v="1"/>
    <n v="1126000"/>
    <n v="194"/>
    <d v="2012-10-30T00:00:00"/>
    <s v="2DA-OCT"/>
    <n v="0.1"/>
    <x v="1"/>
    <s v="BANCOMER"/>
    <m/>
    <n v="563000"/>
    <n v="28150"/>
    <n v="534850"/>
    <n v="0"/>
    <n v="28150"/>
    <x v="6"/>
    <n v="0.95"/>
    <d v="2012-07-18T00:00:00"/>
    <d v="2012-07-18T00:00:00"/>
    <d v="2012-07-1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2"/>
    <x v="2"/>
    <x v="2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6"/>
    <s v="PTA NORTE "/>
    <s v="021004"/>
    <n v="2"/>
    <n v="10"/>
    <n v="4"/>
    <s v="ESTRELLA SUR"/>
    <m/>
    <x v="0"/>
    <n v="80"/>
    <m/>
    <s v="MARINE"/>
    <x v="1"/>
    <n v="1135000"/>
    <n v="195"/>
    <d v="2012-10-30T00:00:00"/>
    <s v="2DA-OCT"/>
    <n v="0.1"/>
    <x v="1"/>
    <s v="BANCOMER"/>
    <m/>
    <n v="567500"/>
    <n v="28375"/>
    <n v="539125"/>
    <n v="0"/>
    <n v="28375"/>
    <x v="6"/>
    <n v="0.95"/>
    <d v="2012-07-13T00:00:00"/>
    <d v="2012-07-13T00:00:00"/>
    <d v="2012-07-1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7"/>
    <s v="PTA NORTE "/>
    <s v="021005"/>
    <n v="2"/>
    <n v="10"/>
    <n v="5"/>
    <s v="ESTRELLA SUR"/>
    <m/>
    <x v="0"/>
    <n v="80"/>
    <m/>
    <s v="AKUA"/>
    <x v="1"/>
    <n v="1126000"/>
    <n v="196"/>
    <d v="2012-10-30T00:00:00"/>
    <s v="2DA-OCT"/>
    <n v="0.1"/>
    <x v="1"/>
    <s v="BANCOMER"/>
    <m/>
    <n v="563000"/>
    <n v="28150"/>
    <n v="534850"/>
    <n v="0"/>
    <n v="28150"/>
    <x v="6"/>
    <n v="0.95"/>
    <d v="2012-07-07T00:00:00"/>
    <d v="2012-07-07T00:00:00"/>
    <d v="2012-07-0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4"/>
    <x v="4"/>
    <x v="4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8"/>
    <s v="PTA NORTE "/>
    <s v="021006"/>
    <n v="2"/>
    <n v="10"/>
    <n v="6"/>
    <s v="ESTRELLA SUR"/>
    <m/>
    <x v="0"/>
    <n v="80"/>
    <m/>
    <s v="AKUA"/>
    <x v="1"/>
    <n v="1126000"/>
    <n v="197"/>
    <d v="2012-10-30T00:00:00"/>
    <s v="2DA-OCT"/>
    <n v="0.1"/>
    <x v="1"/>
    <s v="BANCOMER"/>
    <m/>
    <n v="563000"/>
    <n v="28150"/>
    <n v="534850"/>
    <n v="0"/>
    <n v="28150"/>
    <x v="6"/>
    <n v="0.95"/>
    <d v="2012-07-03T00:00:00"/>
    <d v="2012-07-03T00:00:00"/>
    <d v="2012-07-0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5"/>
    <x v="5"/>
    <x v="5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9"/>
    <s v="PTA NORTE "/>
    <s v="021007"/>
    <n v="2"/>
    <n v="10"/>
    <n v="7"/>
    <s v="TARRAGONA"/>
    <m/>
    <x v="0"/>
    <n v="111.129"/>
    <m/>
    <s v="MARINE"/>
    <x v="1"/>
    <n v="1253290.2"/>
    <n v="198"/>
    <d v="2012-10-30T00:00:00"/>
    <s v="2DA-OCT"/>
    <n v="0.1"/>
    <x v="1"/>
    <s v="BANCOMER"/>
    <m/>
    <n v="626645.1"/>
    <n v="31332.255000000001"/>
    <n v="595312.84499999997"/>
    <n v="0"/>
    <n v="31332.255000000001"/>
    <x v="6"/>
    <n v="0.95"/>
    <d v="2012-07-02T00:00:00"/>
    <d v="2012-07-02T00:00:00"/>
    <d v="2012-07-0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4177.634"/>
    <n v="4177.634"/>
    <n v="4177.634"/>
    <m/>
    <m/>
    <m/>
    <m/>
    <x v="5"/>
    <s v="ND"/>
    <s v="ND"/>
    <s v="ND"/>
    <s v="NA"/>
    <s v=""/>
    <s v="NA"/>
    <s v=""/>
    <s v="NA"/>
    <s v=""/>
    <x v="3"/>
    <s v="NA"/>
    <s v="NA"/>
    <x v="6"/>
    <x v="6"/>
    <x v="6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0"/>
    <s v="PTA NORTE "/>
    <s v="021008"/>
    <n v="2"/>
    <n v="10"/>
    <n v="8"/>
    <s v="TARRAGONA"/>
    <m/>
    <x v="0"/>
    <n v="86.584999999999994"/>
    <m/>
    <s v="AKUA"/>
    <x v="1"/>
    <n v="1151023"/>
    <n v="199"/>
    <d v="2012-10-30T00:00:00"/>
    <s v="2DA-OCT"/>
    <n v="0.1"/>
    <x v="1"/>
    <s v="BANCOMER"/>
    <m/>
    <n v="575511.5"/>
    <n v="28775.575000000001"/>
    <n v="546735.92500000005"/>
    <n v="0"/>
    <n v="28775.575000000001"/>
    <x v="6"/>
    <n v="0.95"/>
    <d v="2012-06-28T00:00:00"/>
    <d v="2012-06-28T00:00:00"/>
    <d v="2012-06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836.7433333333333"/>
    <n v="3836.7433333333333"/>
    <n v="3836.7433333333333"/>
    <m/>
    <m/>
    <m/>
    <m/>
    <x v="5"/>
    <s v="ND"/>
    <s v="ND"/>
    <s v="ND"/>
    <s v="NA"/>
    <s v=""/>
    <s v="NA"/>
    <s v=""/>
    <s v="NA"/>
    <s v=""/>
    <x v="3"/>
    <s v="NA"/>
    <s v="NA"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1"/>
    <s v="PTA NORTE "/>
    <s v="021009"/>
    <n v="2"/>
    <n v="10"/>
    <n v="9"/>
    <s v="TARRAGONA"/>
    <m/>
    <x v="0"/>
    <n v="80.855000000000004"/>
    <m/>
    <s v="AKUA"/>
    <x v="1"/>
    <n v="1129249"/>
    <n v="200"/>
    <d v="2012-10-30T00:00:00"/>
    <s v="2DA-OCT"/>
    <n v="0.1"/>
    <x v="1"/>
    <s v="BANCOMER"/>
    <m/>
    <n v="564624.5"/>
    <n v="28231.225000000002"/>
    <n v="536393.27500000002"/>
    <n v="0"/>
    <n v="28231.225000000002"/>
    <x v="6"/>
    <n v="0.95"/>
    <d v="2012-06-23T00:00:00"/>
    <d v="2012-06-23T00:00:00"/>
    <d v="2012-06-2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64.1633333333334"/>
    <n v="3764.1633333333334"/>
    <n v="3764.1633333333334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2"/>
    <s v="PTA NORTE "/>
    <s v="021010"/>
    <n v="2"/>
    <n v="10"/>
    <n v="10"/>
    <s v="ESTRELLA SUR"/>
    <m/>
    <x v="0"/>
    <n v="80.004999999999995"/>
    <m/>
    <s v="AKUA"/>
    <x v="1"/>
    <n v="1126019"/>
    <n v="201"/>
    <d v="2012-10-30T00:00:00"/>
    <s v="2DA-OCT"/>
    <n v="0.1"/>
    <x v="1"/>
    <s v="BANCOMER"/>
    <m/>
    <n v="563009.5"/>
    <n v="28150.475000000002"/>
    <n v="534859.02500000002"/>
    <n v="0"/>
    <n v="28150.475000000002"/>
    <x v="6"/>
    <n v="0.95"/>
    <d v="2012-06-17T00:00:00"/>
    <d v="2012-06-17T00:00:00"/>
    <d v="2012-06-1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96666666667"/>
    <n v="3753.396666666667"/>
    <n v="3753.396666666667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3"/>
    <s v="PTA NORTE "/>
    <s v="021011"/>
    <n v="2"/>
    <n v="10"/>
    <n v="11"/>
    <s v="ESTRELLA SUR"/>
    <m/>
    <x v="0"/>
    <n v="81.004999999999995"/>
    <m/>
    <s v="MARINE"/>
    <x v="1"/>
    <n v="1138819"/>
    <n v="202"/>
    <d v="2012-10-30T00:00:00"/>
    <s v="2DA-OCT"/>
    <n v="0.1"/>
    <x v="1"/>
    <s v="BANCOMER"/>
    <m/>
    <n v="569409.5"/>
    <n v="28470.475000000002"/>
    <n v="540939.02500000002"/>
    <n v="0"/>
    <n v="28470.475000000002"/>
    <x v="6"/>
    <n v="0.95"/>
    <d v="2012-06-12T00:00:00"/>
    <d v="2012-06-12T00:00:00"/>
    <d v="2012-06-1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96.0633333333335"/>
    <n v="3796.0633333333335"/>
    <n v="3796.06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4"/>
    <s v="PTA NORTE "/>
    <s v="030101"/>
    <n v="3"/>
    <n v="1"/>
    <n v="1"/>
    <s v="TARRAGONA"/>
    <m/>
    <x v="3"/>
    <n v="287.90100000000001"/>
    <m/>
    <s v="MARINE"/>
    <x v="2"/>
    <n v="1925023.8"/>
    <n v="203"/>
    <d v="2012-08-15T00:00:00"/>
    <s v="2DA-AGO"/>
    <n v="0.9"/>
    <x v="0"/>
    <s v="SANTANDER"/>
    <d v="2012-06-01T00:00:00"/>
    <n v="962511.9"/>
    <n v="48125.595000000001"/>
    <n v="0"/>
    <n v="48125.595000000001"/>
    <n v="0"/>
    <x v="6"/>
    <n v="0.95"/>
    <d v="2012-07-28T00:00:00"/>
    <d v="2012-07-28T00:00:00"/>
    <d v="2012-07-28T00:00:00"/>
    <d v="2012-05-14T00:00:00"/>
    <x v="1"/>
    <s v="GABRIELA ARAGON ORTIZ"/>
    <m/>
    <m/>
    <m/>
    <m/>
    <m/>
    <m/>
    <n v="68846"/>
    <n v="3213"/>
    <n v="321"/>
    <s v="SEM 20"/>
    <s v="MAY"/>
    <n v="12000"/>
    <x v="3"/>
    <x v="7"/>
    <x v="0"/>
    <s v="COFINAVIT"/>
    <x v="3"/>
    <d v="2012-05-30T00:00:00"/>
    <x v="6"/>
    <d v="2012-06-10T00:00:00"/>
    <d v="2012-08-20T00:00:00"/>
    <d v="2012-06-20T00:00:00"/>
    <m/>
    <d v="2012-06-27T00:00:00"/>
    <m/>
    <m/>
    <n v="86"/>
    <m/>
    <x v="0"/>
    <x v="1"/>
    <x v="1"/>
    <n v="0.01"/>
    <n v="6416.7460000000001"/>
    <n v="6416.7460000000001"/>
    <n v="6416.7460000000001"/>
    <d v="2012-06-17T00:00:00"/>
    <d v="2012-06-30T00:00:00"/>
    <d v="2012-06-30T00:00:00"/>
    <m/>
    <x v="0"/>
    <s v="2DA-JUN-2012"/>
    <s v="2DA-JUN-2012"/>
    <s v="ND"/>
    <s v="SEM 22"/>
    <s v="MAY"/>
    <s v="SEM 26"/>
    <s v="JUN"/>
    <s v="NA"/>
    <s v=""/>
    <x v="7"/>
    <s v="MAYOR A 2 MESES"/>
    <s v="5TA SEM"/>
    <x v="0"/>
    <x v="0"/>
    <x v="0"/>
    <n v="1000"/>
    <n v="20000"/>
    <n v="50000"/>
    <m/>
    <m/>
    <m/>
    <m/>
    <m/>
    <m/>
    <m/>
    <m/>
    <s v="PAGADO"/>
    <s v="PAGADO"/>
    <m/>
    <m/>
    <m/>
    <m/>
    <m/>
    <m/>
    <m/>
    <m/>
    <n v="0"/>
    <n v="70000"/>
    <n v="0"/>
    <d v="2012-06-14T00:00:00"/>
    <d v="2012-06-29T00:00:00"/>
    <m/>
    <m/>
    <m/>
    <m/>
    <m/>
  </r>
  <r>
    <n v="165"/>
    <s v="PTA NORTE "/>
    <s v="030102"/>
    <n v="3"/>
    <n v="1"/>
    <n v="2"/>
    <s v="TARRAGONA"/>
    <m/>
    <x v="3"/>
    <n v="82.712999999999994"/>
    <m/>
    <s v="AKUA"/>
    <x v="2"/>
    <n v="1136309.3999999999"/>
    <n v="204"/>
    <d v="2012-08-15T00:00:00"/>
    <s v="2DA-AGO"/>
    <n v="0.9"/>
    <x v="0"/>
    <s v="SANTANDER"/>
    <d v="2012-06-01T00:00:00"/>
    <n v="568154.69999999995"/>
    <n v="272714.25599999999"/>
    <n v="0"/>
    <n v="272714.25599999999"/>
    <n v="0"/>
    <x v="7"/>
    <n v="0.5"/>
    <d v="2012-07-23T00:00:00"/>
    <d v="2012-07-23T00:00:00"/>
    <d v="2012-07-23T00:00:00"/>
    <d v="2012-03-30T00:00:00"/>
    <x v="1"/>
    <s v="JAVIER DIAZ BECERRA"/>
    <m/>
    <m/>
    <m/>
    <m/>
    <m/>
    <m/>
    <n v="68846"/>
    <n v="21"/>
    <n v="84"/>
    <s v="SEM 13"/>
    <s v="MAR"/>
    <n v="12000"/>
    <x v="3"/>
    <x v="7"/>
    <x v="0"/>
    <s v="COFINAVIT"/>
    <x v="5"/>
    <d v="2012-04-15T00:00:00"/>
    <x v="8"/>
    <d v="2012-06-20T00:00:00"/>
    <d v="2012-08-20T00:00:00"/>
    <d v="2012-06-30T00:00:00"/>
    <m/>
    <m/>
    <m/>
    <m/>
    <n v="58"/>
    <m/>
    <x v="0"/>
    <x v="1"/>
    <x v="0"/>
    <n v="0.01"/>
    <n v="3787.6979999999999"/>
    <n v="3787.6979999999999"/>
    <n v="3787.6979999999999"/>
    <d v="2012-06-30T00:00:00"/>
    <d v="2012-07-15T00:00:00"/>
    <m/>
    <m/>
    <x v="0"/>
    <s v="2DA-JUL-2012"/>
    <s v="ND"/>
    <s v="ND"/>
    <s v="SEM 16"/>
    <s v="ABR"/>
    <s v="NA"/>
    <s v=""/>
    <s v="NA"/>
    <s v=""/>
    <x v="6"/>
    <s v="MAYOR A 2 MESES"/>
    <s v="NA"/>
    <x v="1"/>
    <x v="1"/>
    <x v="1"/>
    <n v="3000"/>
    <n v="12000"/>
    <n v="500000"/>
    <m/>
    <m/>
    <m/>
    <m/>
    <m/>
    <m/>
    <m/>
    <m/>
    <s v="PAGADO"/>
    <s v="PAGADO"/>
    <m/>
    <m/>
    <m/>
    <m/>
    <m/>
    <m/>
    <m/>
    <m/>
    <n v="0"/>
    <n v="512000"/>
    <n v="0"/>
    <d v="2012-04-30T00:00:00"/>
    <d v="2012-05-15T00:00:00"/>
    <m/>
    <m/>
    <m/>
    <m/>
    <m/>
  </r>
  <r>
    <n v="166"/>
    <s v="PTA NORTE "/>
    <s v="030103"/>
    <n v="3"/>
    <n v="1"/>
    <n v="3"/>
    <s v="TARRAGONA"/>
    <m/>
    <x v="3"/>
    <n v="87.340999999999994"/>
    <m/>
    <s v="AKUA"/>
    <x v="2"/>
    <n v="1153895.8"/>
    <n v="205"/>
    <d v="2012-08-15T00:00:00"/>
    <s v="2DA-AGO"/>
    <n v="0.7"/>
    <x v="0"/>
    <s v="SANTANDER"/>
    <d v="2012-06-01T00:00:00"/>
    <n v="576947.9"/>
    <n v="276934.99200000003"/>
    <n v="0"/>
    <n v="276934.99200000003"/>
    <n v="0"/>
    <x v="7"/>
    <n v="0.5"/>
    <d v="2012-07-18T00:00:00"/>
    <d v="2012-07-18T00:00:00"/>
    <d v="2012-07-18T00:00:00"/>
    <d v="2012-05-01T00:00:00"/>
    <x v="1"/>
    <s v="ANDREA CARMONA SMITH"/>
    <m/>
    <m/>
    <m/>
    <m/>
    <m/>
    <m/>
    <n v="654654"/>
    <n v="5814"/>
    <n v="321"/>
    <s v="SEM 18"/>
    <s v="MAY"/>
    <n v="8500"/>
    <x v="3"/>
    <x v="3"/>
    <x v="0"/>
    <s v="COFINAVIT"/>
    <x v="5"/>
    <d v="2012-05-15T00:00:00"/>
    <x v="1"/>
    <d v="2012-06-22T00:00:00"/>
    <d v="2012-08-20T00:00:00"/>
    <d v="2012-06-30T00:00:00"/>
    <m/>
    <m/>
    <m/>
    <m/>
    <n v="58"/>
    <m/>
    <x v="0"/>
    <x v="0"/>
    <x v="0"/>
    <n v="0.01"/>
    <n v="3846.3193333333334"/>
    <n v="3846.3193333333334"/>
    <n v="3846.3193333333334"/>
    <d v="2012-06-30T00:00:00"/>
    <m/>
    <m/>
    <m/>
    <x v="0"/>
    <s v="ND"/>
    <s v="ND"/>
    <s v="ND"/>
    <s v="SEM 20"/>
    <s v="MAY"/>
    <s v="NA"/>
    <s v=""/>
    <s v="NA"/>
    <s v=""/>
    <x v="6"/>
    <s v="MAYOR A 2 MESES"/>
    <s v="NA"/>
    <x v="2"/>
    <x v="2"/>
    <x v="2"/>
    <n v="5000"/>
    <n v="17000"/>
    <n v="120000"/>
    <n v="10000"/>
    <m/>
    <m/>
    <m/>
    <m/>
    <m/>
    <m/>
    <m/>
    <s v="PAGADO"/>
    <s v="PAGADO"/>
    <s v="PAGADO"/>
    <m/>
    <m/>
    <m/>
    <m/>
    <m/>
    <m/>
    <m/>
    <n v="0"/>
    <n v="147000"/>
    <n v="0"/>
    <d v="2012-05-30T00:00:00"/>
    <d v="2012-06-14T00:00:00"/>
    <d v="2012-06-29T00:00:00"/>
    <m/>
    <m/>
    <m/>
    <m/>
  </r>
  <r>
    <n v="167"/>
    <s v="PTA NORTE "/>
    <s v="030104"/>
    <n v="3"/>
    <n v="1"/>
    <n v="4"/>
    <s v="TARRAGONA"/>
    <m/>
    <x v="1"/>
    <n v="97.638000000000005"/>
    <m/>
    <s v="MARINE"/>
    <x v="2"/>
    <n v="1202024.3999999999"/>
    <n v="206"/>
    <d v="2012-08-15T00:00:00"/>
    <s v="2DA-AGO"/>
    <n v="0.7"/>
    <x v="1"/>
    <s v="SANTANDER"/>
    <m/>
    <n v="601012.19999999995"/>
    <n v="288485.85599999997"/>
    <n v="312526.34399999998"/>
    <n v="0"/>
    <n v="288485.85599999997"/>
    <x v="7"/>
    <n v="0.5"/>
    <d v="2012-07-13T00:00:00"/>
    <d v="2012-07-13T00:00:00"/>
    <d v="2012-07-1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4006.7479999999996"/>
    <n v="4006.7479999999996"/>
    <n v="4006.7479999999996"/>
    <m/>
    <m/>
    <m/>
    <m/>
    <x v="5"/>
    <s v="ND"/>
    <s v="ND"/>
    <s v="ND"/>
    <s v="NA"/>
    <s v=""/>
    <s v="NA"/>
    <s v=""/>
    <s v="NA"/>
    <s v=""/>
    <x v="3"/>
    <s v="NA"/>
    <s v="NA"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8"/>
    <s v="PTA NORTE "/>
    <s v="030105"/>
    <n v="3"/>
    <n v="1"/>
    <n v="5"/>
    <s v="TARRAGONA"/>
    <m/>
    <x v="1"/>
    <n v="105.361"/>
    <m/>
    <s v="AKUA"/>
    <x v="2"/>
    <n v="1222371.8"/>
    <n v="207"/>
    <d v="2012-08-15T00:00:00"/>
    <s v="2DA-AGO"/>
    <n v="0.8"/>
    <x v="1"/>
    <s v="SANTANDER"/>
    <m/>
    <n v="611185.9"/>
    <n v="293369.23200000002"/>
    <n v="317816.66800000001"/>
    <n v="0"/>
    <n v="293369.23200000002"/>
    <x v="7"/>
    <n v="0.5"/>
    <d v="2012-07-07T00:00:00"/>
    <d v="2012-07-07T00:00:00"/>
    <d v="2012-07-0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4074.5726666666669"/>
    <n v="4074.5726666666669"/>
    <n v="4074.5726666666669"/>
    <m/>
    <m/>
    <m/>
    <m/>
    <x v="5"/>
    <s v="ND"/>
    <s v="ND"/>
    <s v="ND"/>
    <s v="NA"/>
    <s v=""/>
    <s v="NA"/>
    <s v=""/>
    <s v="NA"/>
    <s v=""/>
    <x v="3"/>
    <s v="NA"/>
    <s v="NA"/>
    <x v="4"/>
    <x v="4"/>
    <x v="4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9"/>
    <s v="PTA NORTE "/>
    <s v="030201"/>
    <n v="3"/>
    <n v="2"/>
    <n v="1"/>
    <s v="ESTRELLA BLANCA"/>
    <m/>
    <x v="1"/>
    <n v="150.715"/>
    <m/>
    <s v="MARINE"/>
    <x v="2"/>
    <n v="1403717"/>
    <n v="208"/>
    <d v="2012-08-15T00:00:00"/>
    <s v="2DA-AGO"/>
    <n v="0.8"/>
    <x v="1"/>
    <s v="SANTANDER"/>
    <m/>
    <n v="701858.5"/>
    <n v="336892.08"/>
    <n v="364966.42"/>
    <n v="0"/>
    <n v="336892.08"/>
    <x v="7"/>
    <n v="0.5"/>
    <d v="2012-07-03T00:00:00"/>
    <d v="2012-07-03T00:00:00"/>
    <d v="2012-07-0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4679.0566666666664"/>
    <n v="4679.0566666666664"/>
    <n v="4679.0566666666664"/>
    <m/>
    <m/>
    <m/>
    <m/>
    <x v="5"/>
    <s v="ND"/>
    <s v="ND"/>
    <s v="ND"/>
    <s v="NA"/>
    <s v=""/>
    <s v="NA"/>
    <s v=""/>
    <s v="NA"/>
    <s v=""/>
    <x v="3"/>
    <s v="NA"/>
    <s v="NA"/>
    <x v="5"/>
    <x v="5"/>
    <x v="5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0"/>
    <s v="PTA NORTE "/>
    <s v="030202"/>
    <n v="3"/>
    <n v="2"/>
    <n v="2"/>
    <s v="ESTRELLA BLANCA"/>
    <m/>
    <x v="0"/>
    <n v="84.649000000000001"/>
    <m/>
    <s v="AKUA"/>
    <x v="2"/>
    <n v="1143666.2"/>
    <n v="209"/>
    <d v="2012-08-15T00:00:00"/>
    <s v="2DA-AGO"/>
    <n v="0.6"/>
    <x v="1"/>
    <s v="SANTANDER"/>
    <m/>
    <n v="571833.1"/>
    <n v="274479.88799999998"/>
    <n v="297353.212"/>
    <n v="0"/>
    <n v="274479.88799999998"/>
    <x v="7"/>
    <n v="0.5"/>
    <d v="2012-07-02T00:00:00"/>
    <d v="2012-07-02T00:00:00"/>
    <d v="2012-07-0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812.2206666666666"/>
    <n v="3812.2206666666666"/>
    <n v="3812.2206666666666"/>
    <m/>
    <m/>
    <m/>
    <m/>
    <x v="5"/>
    <s v="ND"/>
    <s v="ND"/>
    <s v="ND"/>
    <s v="NA"/>
    <s v=""/>
    <s v="NA"/>
    <s v=""/>
    <s v="NA"/>
    <s v=""/>
    <x v="3"/>
    <s v="NA"/>
    <s v="NA"/>
    <x v="6"/>
    <x v="6"/>
    <x v="6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1"/>
    <s v="PTA NORTE "/>
    <s v="030203"/>
    <n v="3"/>
    <n v="2"/>
    <n v="3"/>
    <s v="ESTRELLA BLANCA"/>
    <m/>
    <x v="0"/>
    <n v="81.147000000000006"/>
    <m/>
    <s v="AKUA"/>
    <x v="2"/>
    <n v="1130358.6000000001"/>
    <n v="210"/>
    <d v="2012-08-15T00:00:00"/>
    <s v="2DA-AGO"/>
    <n v="0.6"/>
    <x v="1"/>
    <s v="SANTANDER"/>
    <m/>
    <n v="565179.30000000005"/>
    <n v="271286.06400000001"/>
    <n v="293893.23600000003"/>
    <n v="0"/>
    <n v="271286.06400000001"/>
    <x v="7"/>
    <n v="0.5"/>
    <d v="2012-06-28T00:00:00"/>
    <d v="2012-06-28T00:00:00"/>
    <d v="2012-06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67.8620000000005"/>
    <n v="3767.8620000000005"/>
    <n v="3767.8620000000005"/>
    <m/>
    <m/>
    <m/>
    <m/>
    <x v="5"/>
    <s v="ND"/>
    <s v="ND"/>
    <s v="ND"/>
    <s v="NA"/>
    <s v=""/>
    <s v="NA"/>
    <s v=""/>
    <s v="NA"/>
    <s v=""/>
    <x v="3"/>
    <s v="NA"/>
    <s v="NA"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2"/>
    <s v="PTA NORTE "/>
    <s v="030204"/>
    <n v="3"/>
    <n v="2"/>
    <n v="4"/>
    <s v="ESTRELLA BLANCA"/>
    <m/>
    <x v="0"/>
    <n v="112.72499999999999"/>
    <m/>
    <s v="MARINE"/>
    <x v="2"/>
    <n v="1259355"/>
    <n v="211"/>
    <d v="2012-08-15T00:00:00"/>
    <s v="2DA-AGO"/>
    <n v="0.6"/>
    <x v="1"/>
    <s v="SANTANDER"/>
    <m/>
    <n v="629677.5"/>
    <n v="302245.2"/>
    <n v="327432.3"/>
    <n v="0"/>
    <n v="302245.2"/>
    <x v="7"/>
    <n v="0.5"/>
    <d v="2012-06-23T00:00:00"/>
    <d v="2012-06-23T00:00:00"/>
    <d v="2012-06-2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4197.8500000000004"/>
    <n v="4197.8500000000004"/>
    <n v="4197.8500000000004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3"/>
    <s v="PTA NORTE "/>
    <s v="030205"/>
    <n v="3"/>
    <n v="2"/>
    <n v="5"/>
    <s v="ESTRELLA BLANCA"/>
    <m/>
    <x v="0"/>
    <n v="116.286"/>
    <m/>
    <s v="AKUA"/>
    <x v="2"/>
    <n v="1263886.8"/>
    <n v="212"/>
    <d v="2012-08-15T00:00:00"/>
    <s v="2DA-AGO"/>
    <n v="0.6"/>
    <x v="1"/>
    <s v="SANTANDER"/>
    <m/>
    <n v="631943.4"/>
    <n v="303332.83199999999"/>
    <n v="328610.56800000003"/>
    <n v="0"/>
    <n v="303332.83199999999"/>
    <x v="7"/>
    <n v="0.5"/>
    <d v="2012-06-17T00:00:00"/>
    <d v="2012-06-17T00:00:00"/>
    <d v="2012-06-1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4212.9560000000001"/>
    <n v="4212.9560000000001"/>
    <n v="4212.9560000000001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4"/>
    <s v="PTA NORTE "/>
    <s v="030206"/>
    <n v="3"/>
    <n v="2"/>
    <n v="6"/>
    <s v="ESTRELLA BLANCA"/>
    <m/>
    <x v="0"/>
    <n v="80"/>
    <m/>
    <s v="MARINE"/>
    <x v="2"/>
    <n v="1135000"/>
    <n v="213"/>
    <d v="2012-08-15T00:00:00"/>
    <s v="2DA-AGO"/>
    <n v="0.6"/>
    <x v="1"/>
    <s v="SANTANDER"/>
    <m/>
    <n v="567500"/>
    <n v="272400"/>
    <n v="295100"/>
    <n v="0"/>
    <n v="272400"/>
    <x v="7"/>
    <n v="0.5"/>
    <d v="2012-06-12T00:00:00"/>
    <d v="2012-06-12T00:00:00"/>
    <d v="2012-06-1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5"/>
    <s v="PTA NORTE "/>
    <s v="030207"/>
    <n v="3"/>
    <n v="2"/>
    <n v="7"/>
    <s v="ESTRELLA BLANCA"/>
    <m/>
    <x v="0"/>
    <n v="80"/>
    <m/>
    <s v="AKUA"/>
    <x v="2"/>
    <n v="1126000"/>
    <n v="214"/>
    <d v="2012-08-15T00:00:00"/>
    <s v="2DA-AGO"/>
    <n v="0.6"/>
    <x v="1"/>
    <s v="SANTANDER"/>
    <m/>
    <n v="563000"/>
    <n v="270240"/>
    <n v="292760"/>
    <n v="0"/>
    <n v="270240"/>
    <x v="7"/>
    <n v="0.5"/>
    <d v="2012-07-28T00:00:00"/>
    <d v="2012-07-28T00:00:00"/>
    <d v="2012-07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6"/>
    <s v="PTA NORTE "/>
    <s v="030208"/>
    <n v="3"/>
    <n v="2"/>
    <n v="8"/>
    <s v="ESTRELLA BLANCA"/>
    <m/>
    <x v="0"/>
    <n v="80"/>
    <m/>
    <s v="AKUA"/>
    <x v="2"/>
    <n v="1126000"/>
    <n v="215"/>
    <d v="2012-08-15T00:00:00"/>
    <s v="2DA-AGO"/>
    <n v="0.6"/>
    <x v="1"/>
    <s v="SANTANDER"/>
    <m/>
    <n v="563000"/>
    <n v="270240"/>
    <n v="292760"/>
    <n v="0"/>
    <n v="270240"/>
    <x v="7"/>
    <n v="0.5"/>
    <d v="2012-07-23T00:00:00"/>
    <d v="2012-07-23T00:00:00"/>
    <d v="2012-07-2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1"/>
    <x v="1"/>
    <x v="1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7"/>
    <s v="PTA NORTE "/>
    <s v="030209"/>
    <n v="3"/>
    <n v="2"/>
    <n v="9"/>
    <s v="ESTRELLA BLANCA"/>
    <m/>
    <x v="0"/>
    <n v="80"/>
    <m/>
    <s v="MARINE"/>
    <x v="2"/>
    <n v="1135000"/>
    <n v="216"/>
    <d v="2012-08-15T00:00:00"/>
    <s v="2DA-AGO"/>
    <n v="0.6"/>
    <x v="1"/>
    <s v="SANTANDER"/>
    <m/>
    <n v="567500"/>
    <n v="272400"/>
    <n v="295100"/>
    <n v="0"/>
    <n v="272400"/>
    <x v="7"/>
    <n v="0.5"/>
    <d v="2012-07-18T00:00:00"/>
    <d v="2012-07-18T00:00:00"/>
    <d v="2012-07-1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2"/>
    <x v="2"/>
    <x v="2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8"/>
    <s v="PTA NORTE "/>
    <s v="030210"/>
    <n v="3"/>
    <n v="2"/>
    <n v="10"/>
    <s v="ESTRELLA BLANCA"/>
    <m/>
    <x v="0"/>
    <n v="80"/>
    <m/>
    <s v="AKUA"/>
    <x v="2"/>
    <n v="1126000"/>
    <n v="217"/>
    <d v="2012-08-15T00:00:00"/>
    <s v="2DA-AGO"/>
    <n v="0.6"/>
    <x v="1"/>
    <s v="SANTANDER"/>
    <m/>
    <n v="563000"/>
    <n v="270240"/>
    <n v="292760"/>
    <n v="0"/>
    <n v="270240"/>
    <x v="7"/>
    <n v="0.5"/>
    <d v="2012-07-13T00:00:00"/>
    <d v="2012-07-13T00:00:00"/>
    <d v="2012-07-1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9"/>
    <s v="PTA NORTE "/>
    <s v="030301"/>
    <n v="3"/>
    <n v="3"/>
    <n v="1"/>
    <s v="ESTRELLA DE LA PRIMAVERA"/>
    <m/>
    <x v="0"/>
    <n v="80"/>
    <m/>
    <s v="MARINE"/>
    <x v="2"/>
    <n v="1135000"/>
    <n v="218"/>
    <d v="2012-09-15T00:00:00"/>
    <s v="2DA-SEP"/>
    <n v="0.5"/>
    <x v="1"/>
    <s v="SANTANDER"/>
    <m/>
    <n v="567500"/>
    <n v="272400"/>
    <n v="295100"/>
    <n v="0"/>
    <n v="272400"/>
    <x v="7"/>
    <n v="0.5"/>
    <d v="2012-07-07T00:00:00"/>
    <d v="2012-07-07T00:00:00"/>
    <d v="2012-07-0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4"/>
    <x v="4"/>
    <x v="4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0"/>
    <s v="PTA NORTE "/>
    <s v="030302"/>
    <n v="3"/>
    <n v="3"/>
    <n v="2"/>
    <s v="ESTRELLA DE LA PRIMAVERA"/>
    <m/>
    <x v="0"/>
    <n v="80"/>
    <m/>
    <s v="AKUA"/>
    <x v="2"/>
    <n v="1126000"/>
    <n v="219"/>
    <d v="2012-09-15T00:00:00"/>
    <s v="2DA-SEP"/>
    <n v="0.5"/>
    <x v="1"/>
    <s v="SANTANDER"/>
    <m/>
    <n v="563000"/>
    <n v="270240"/>
    <n v="292760"/>
    <n v="0"/>
    <n v="270240"/>
    <x v="7"/>
    <n v="0.5"/>
    <d v="2012-07-03T00:00:00"/>
    <d v="2012-07-03T00:00:00"/>
    <d v="2012-07-0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5"/>
    <x v="5"/>
    <x v="5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1"/>
    <s v="PTA NORTE "/>
    <s v="030303"/>
    <n v="3"/>
    <n v="3"/>
    <n v="3"/>
    <s v="ESTRELLA DE LA PRIMAVERA"/>
    <m/>
    <x v="0"/>
    <n v="80"/>
    <m/>
    <s v="AKUA"/>
    <x v="2"/>
    <n v="1126000"/>
    <n v="220"/>
    <d v="2012-09-15T00:00:00"/>
    <s v="2DA-SEP"/>
    <n v="0.5"/>
    <x v="1"/>
    <s v="SANTANDER"/>
    <m/>
    <n v="563000"/>
    <n v="270240"/>
    <n v="292760"/>
    <n v="0"/>
    <n v="270240"/>
    <x v="7"/>
    <n v="0.5"/>
    <d v="2012-07-02T00:00:00"/>
    <d v="2012-07-02T00:00:00"/>
    <d v="2012-07-0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6"/>
    <x v="6"/>
    <x v="6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2"/>
    <s v="PTA NORTE "/>
    <s v="030304"/>
    <n v="3"/>
    <n v="3"/>
    <n v="4"/>
    <s v="ESTRELLA DE LA PRIMAVERA"/>
    <m/>
    <x v="0"/>
    <n v="80"/>
    <m/>
    <s v="MARINE"/>
    <x v="2"/>
    <n v="1135000"/>
    <n v="221"/>
    <d v="2012-09-15T00:00:00"/>
    <s v="2DA-SEP"/>
    <n v="0.3"/>
    <x v="1"/>
    <s v="SANTANDER"/>
    <m/>
    <n v="567500"/>
    <n v="0"/>
    <n v="567500"/>
    <n v="0"/>
    <n v="0"/>
    <x v="6"/>
    <n v="0.95"/>
    <d v="2012-06-28T00:00:00"/>
    <d v="2012-06-28T00:00:00"/>
    <d v="2012-06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3"/>
    <s v="PTA NORTE "/>
    <s v="030305"/>
    <n v="3"/>
    <n v="3"/>
    <n v="5"/>
    <s v="ESTRELLA DE LA PRIMAVERA"/>
    <m/>
    <x v="0"/>
    <n v="80"/>
    <m/>
    <s v="AKUA"/>
    <x v="2"/>
    <n v="1126000"/>
    <n v="222"/>
    <d v="2012-09-15T00:00:00"/>
    <s v="2DA-SEP"/>
    <n v="0.4"/>
    <x v="1"/>
    <s v="SANTANDER"/>
    <m/>
    <n v="563000"/>
    <n v="0"/>
    <n v="563000"/>
    <n v="0"/>
    <n v="0"/>
    <x v="6"/>
    <n v="0.95"/>
    <d v="2012-06-23T00:00:00"/>
    <d v="2012-06-23T00:00:00"/>
    <d v="2012-06-2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4"/>
    <s v="PTA NORTE "/>
    <s v="030306"/>
    <n v="3"/>
    <n v="3"/>
    <n v="6"/>
    <s v="ESTRELLA DE LA PRIMAVERA"/>
    <m/>
    <x v="0"/>
    <n v="80"/>
    <m/>
    <s v="AKUA"/>
    <x v="2"/>
    <n v="1126000"/>
    <n v="223"/>
    <d v="2012-09-15T00:00:00"/>
    <s v="2DA-SEP"/>
    <n v="0.4"/>
    <x v="1"/>
    <s v="SANTANDER"/>
    <m/>
    <n v="563000"/>
    <n v="0"/>
    <n v="563000"/>
    <n v="0"/>
    <n v="0"/>
    <x v="6"/>
    <n v="0.95"/>
    <d v="2012-06-17T00:00:00"/>
    <d v="2012-06-17T00:00:00"/>
    <d v="2012-06-1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5"/>
    <s v="PTA NORTE "/>
    <s v="030307"/>
    <n v="3"/>
    <n v="3"/>
    <n v="7"/>
    <s v="ESTRELLA DE LA PRIMAVERA"/>
    <m/>
    <x v="0"/>
    <n v="108.857"/>
    <m/>
    <s v="MARINE"/>
    <x v="2"/>
    <n v="1244656.6000000001"/>
    <n v="224"/>
    <d v="2012-09-15T00:00:00"/>
    <s v="2DA-SEP"/>
    <n v="0.3"/>
    <x v="1"/>
    <s v="SANTANDER"/>
    <m/>
    <n v="622328.30000000005"/>
    <n v="0"/>
    <n v="622328.30000000005"/>
    <n v="0"/>
    <n v="0"/>
    <x v="6"/>
    <n v="0.95"/>
    <d v="2012-06-12T00:00:00"/>
    <d v="2012-06-12T00:00:00"/>
    <d v="2012-06-1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4148.8553333333339"/>
    <n v="4148.8553333333339"/>
    <n v="4148.8553333333339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6"/>
    <s v="PTA NORTE "/>
    <s v="030308"/>
    <n v="3"/>
    <n v="3"/>
    <n v="8"/>
    <s v="ESTRELLA DE LA PRIMAVERA"/>
    <m/>
    <x v="0"/>
    <n v="116.286"/>
    <m/>
    <s v="MARINE"/>
    <x v="2"/>
    <n v="1272886.8"/>
    <n v="225"/>
    <d v="2012-09-15T00:00:00"/>
    <s v="2DA-SEP"/>
    <n v="0.3"/>
    <x v="1"/>
    <s v="SANTANDER"/>
    <m/>
    <n v="636443.4"/>
    <n v="0"/>
    <n v="636443.4"/>
    <n v="0"/>
    <n v="0"/>
    <x v="6"/>
    <n v="0.95"/>
    <d v="2012-07-28T00:00:00"/>
    <d v="2012-07-28T00:00:00"/>
    <d v="2012-07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4242.9560000000001"/>
    <n v="4242.9560000000001"/>
    <n v="4242.9560000000001"/>
    <m/>
    <m/>
    <m/>
    <m/>
    <x v="5"/>
    <s v="ND"/>
    <s v="ND"/>
    <s v="ND"/>
    <s v="NA"/>
    <s v=""/>
    <s v="NA"/>
    <s v=""/>
    <s v="NA"/>
    <s v=""/>
    <x v="3"/>
    <s v="NA"/>
    <s v="NA"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7"/>
    <s v="PTA NORTE "/>
    <s v="030309"/>
    <n v="3"/>
    <n v="3"/>
    <n v="9"/>
    <s v="ESTRELLA DE LA PRIMAVERA"/>
    <m/>
    <x v="0"/>
    <n v="80"/>
    <m/>
    <s v="AKUA"/>
    <x v="2"/>
    <n v="1126000"/>
    <n v="226"/>
    <d v="2012-09-15T00:00:00"/>
    <s v="2DA-SEP"/>
    <n v="0.3"/>
    <x v="1"/>
    <s v="SANTANDER"/>
    <m/>
    <n v="563000"/>
    <n v="0"/>
    <n v="563000"/>
    <n v="0"/>
    <n v="0"/>
    <x v="6"/>
    <n v="0.95"/>
    <d v="2012-07-23T00:00:00"/>
    <d v="2012-07-23T00:00:00"/>
    <d v="2012-07-2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1"/>
    <x v="1"/>
    <x v="1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8"/>
    <s v="PTA NORTE "/>
    <s v="030310"/>
    <n v="3"/>
    <n v="3"/>
    <n v="10"/>
    <s v="ESTRELLA DE LA PRIMAVERA"/>
    <m/>
    <x v="0"/>
    <n v="80"/>
    <m/>
    <s v="AKUA"/>
    <x v="2"/>
    <n v="1126000"/>
    <n v="227"/>
    <d v="2012-09-15T00:00:00"/>
    <s v="2DA-SEP"/>
    <n v="0.3"/>
    <x v="1"/>
    <s v="SANTANDER"/>
    <m/>
    <n v="563000"/>
    <n v="0"/>
    <n v="563000"/>
    <n v="0"/>
    <n v="0"/>
    <x v="6"/>
    <n v="0.95"/>
    <d v="2012-07-18T00:00:00"/>
    <d v="2012-07-18T00:00:00"/>
    <d v="2012-07-1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2"/>
    <x v="2"/>
    <x v="2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9"/>
    <s v="PTA NORTE "/>
    <s v="030311"/>
    <n v="3"/>
    <n v="3"/>
    <n v="11"/>
    <s v="ESTRELLA DE LA PRIMAVERA"/>
    <m/>
    <x v="0"/>
    <n v="80"/>
    <m/>
    <s v="MARINE"/>
    <x v="2"/>
    <n v="1135000"/>
    <n v="228"/>
    <d v="2012-09-15T00:00:00"/>
    <s v="2DA-SEP"/>
    <n v="0.3"/>
    <x v="1"/>
    <s v="SANTANDER"/>
    <m/>
    <n v="567500"/>
    <n v="0"/>
    <n v="567500"/>
    <n v="0"/>
    <n v="0"/>
    <x v="6"/>
    <n v="0.95"/>
    <d v="2012-07-13T00:00:00"/>
    <d v="2012-07-13T00:00:00"/>
    <d v="2012-07-1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0"/>
    <s v="PTA NORTE "/>
    <s v="030312"/>
    <n v="3"/>
    <n v="3"/>
    <n v="12"/>
    <s v="ESTRELLA DE LA PRIMAVERA"/>
    <m/>
    <x v="0"/>
    <n v="80"/>
    <m/>
    <s v="AKUA"/>
    <x v="2"/>
    <n v="1126000"/>
    <n v="229"/>
    <d v="2012-09-15T00:00:00"/>
    <s v="2DA-SEP"/>
    <n v="0.3"/>
    <x v="1"/>
    <s v="SANTANDER"/>
    <m/>
    <n v="563000"/>
    <n v="0"/>
    <n v="563000"/>
    <n v="0"/>
    <n v="0"/>
    <x v="6"/>
    <n v="0.95"/>
    <d v="2012-07-07T00:00:00"/>
    <d v="2012-07-07T00:00:00"/>
    <d v="2012-07-0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4"/>
    <x v="4"/>
    <x v="4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1"/>
    <s v="PTA NORTE "/>
    <s v="030313"/>
    <n v="3"/>
    <n v="3"/>
    <n v="13"/>
    <s v="ESTRELLA DE LA PRIMAVERA"/>
    <m/>
    <x v="0"/>
    <n v="80"/>
    <m/>
    <s v="AKUA"/>
    <x v="2"/>
    <n v="1126000"/>
    <n v="230"/>
    <d v="2012-09-15T00:00:00"/>
    <s v="2DA-SEP"/>
    <n v="0.3"/>
    <x v="1"/>
    <s v="SANTANDER"/>
    <m/>
    <n v="563000"/>
    <n v="0"/>
    <n v="563000"/>
    <n v="0"/>
    <n v="0"/>
    <x v="6"/>
    <n v="0.95"/>
    <d v="2012-07-03T00:00:00"/>
    <d v="2012-07-03T00:00:00"/>
    <d v="2012-07-0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5"/>
    <x v="5"/>
    <x v="5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2"/>
    <s v="PTA NORTE "/>
    <s v="030314"/>
    <n v="3"/>
    <n v="3"/>
    <n v="14"/>
    <s v="ESTRELLA DE LA PRIMAVERA"/>
    <m/>
    <x v="0"/>
    <n v="80"/>
    <m/>
    <s v="MARINE"/>
    <x v="2"/>
    <n v="1135000"/>
    <n v="231"/>
    <d v="2012-09-15T00:00:00"/>
    <s v="2DA-SEP"/>
    <n v="0.3"/>
    <x v="1"/>
    <s v="SANTANDER"/>
    <m/>
    <n v="567500"/>
    <n v="0"/>
    <n v="567500"/>
    <n v="0"/>
    <n v="0"/>
    <x v="6"/>
    <n v="0.95"/>
    <d v="2012-07-02T00:00:00"/>
    <d v="2012-07-02T00:00:00"/>
    <d v="2012-07-0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6"/>
    <x v="6"/>
    <x v="6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3"/>
    <s v="PTA NORTE "/>
    <s v="030315"/>
    <n v="3"/>
    <n v="3"/>
    <n v="15"/>
    <s v="ESTRELLA DE LA PRIMAVERA"/>
    <m/>
    <x v="0"/>
    <n v="80"/>
    <m/>
    <s v="AKUA"/>
    <x v="2"/>
    <n v="1126000"/>
    <n v="232"/>
    <d v="2012-09-15T00:00:00"/>
    <s v="2DA-SEP"/>
    <n v="0.3"/>
    <x v="1"/>
    <s v="SANTANDER"/>
    <m/>
    <n v="563000"/>
    <n v="0"/>
    <n v="563000"/>
    <n v="0"/>
    <n v="0"/>
    <x v="6"/>
    <n v="0.95"/>
    <d v="2012-06-28T00:00:00"/>
    <d v="2012-06-28T00:00:00"/>
    <d v="2012-06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4"/>
    <s v="PTA NORTE "/>
    <s v="030316"/>
    <n v="3"/>
    <n v="3"/>
    <n v="16"/>
    <s v="ESTRELLA DE LA PRIMAVERA"/>
    <m/>
    <x v="0"/>
    <n v="80"/>
    <m/>
    <s v="AKUA"/>
    <x v="2"/>
    <n v="1126000"/>
    <n v="233"/>
    <d v="2012-09-15T00:00:00"/>
    <s v="2DA-SEP"/>
    <n v="0.3"/>
    <x v="1"/>
    <s v="SANTANDER"/>
    <m/>
    <n v="563000"/>
    <n v="0"/>
    <n v="563000"/>
    <n v="0"/>
    <n v="0"/>
    <x v="6"/>
    <n v="0.95"/>
    <d v="2012-06-23T00:00:00"/>
    <d v="2012-06-23T00:00:00"/>
    <d v="2012-06-2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5"/>
    <s v="PTA NORTE "/>
    <s v="030401"/>
    <n v="3"/>
    <n v="4"/>
    <n v="1"/>
    <s v="ESTRELLA DE INVIERNO"/>
    <m/>
    <x v="0"/>
    <n v="115.05200000000001"/>
    <m/>
    <s v="MARINE"/>
    <x v="2"/>
    <n v="1268197.6000000001"/>
    <n v="234"/>
    <d v="2012-09-30T00:00:00"/>
    <s v="2DA-SEP"/>
    <n v="0.3"/>
    <x v="1"/>
    <s v="SANTANDER"/>
    <m/>
    <n v="634098.80000000005"/>
    <n v="0"/>
    <n v="634098.80000000005"/>
    <n v="0"/>
    <n v="0"/>
    <x v="6"/>
    <n v="0.95"/>
    <d v="2012-06-17T00:00:00"/>
    <d v="2012-06-17T00:00:00"/>
    <d v="2012-06-1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4227.3253333333332"/>
    <n v="4227.3253333333332"/>
    <n v="4227.3253333333332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6"/>
    <s v="PTA NORTE "/>
    <s v="030402"/>
    <n v="3"/>
    <n v="4"/>
    <n v="2"/>
    <s v="ESTRELLA DE INVIERNO"/>
    <m/>
    <x v="0"/>
    <n v="80"/>
    <m/>
    <s v="AKUA"/>
    <x v="2"/>
    <n v="1126000"/>
    <n v="235"/>
    <d v="2012-09-30T00:00:00"/>
    <s v="2DA-SEP"/>
    <n v="0.3"/>
    <x v="1"/>
    <s v="SANTANDER"/>
    <m/>
    <n v="563000"/>
    <n v="0"/>
    <n v="563000"/>
    <n v="0"/>
    <n v="0"/>
    <x v="6"/>
    <n v="0.95"/>
    <d v="2012-06-12T00:00:00"/>
    <d v="2012-06-12T00:00:00"/>
    <d v="2012-06-1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7"/>
    <s v="PTA NORTE "/>
    <s v="030403"/>
    <n v="3"/>
    <n v="4"/>
    <n v="3"/>
    <s v="ESTRELLA DE INVIERNO"/>
    <m/>
    <x v="0"/>
    <n v="80"/>
    <m/>
    <s v="AKUA"/>
    <x v="2"/>
    <n v="1126000"/>
    <n v="236"/>
    <d v="2012-09-30T00:00:00"/>
    <s v="2DA-SEP"/>
    <n v="0.3"/>
    <x v="1"/>
    <s v="SANTANDER"/>
    <m/>
    <n v="563000"/>
    <n v="0"/>
    <n v="563000"/>
    <n v="0"/>
    <n v="0"/>
    <x v="6"/>
    <n v="0.95"/>
    <d v="2012-07-28T00:00:00"/>
    <d v="2012-07-28T00:00:00"/>
    <d v="2012-07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8"/>
    <s v="PTA NORTE "/>
    <s v="030404"/>
    <n v="3"/>
    <n v="4"/>
    <n v="4"/>
    <s v="ESTRELLA DE INVIERNO"/>
    <m/>
    <x v="0"/>
    <n v="80"/>
    <m/>
    <s v="MARINE"/>
    <x v="2"/>
    <n v="1135000"/>
    <n v="237"/>
    <d v="2012-09-30T00:00:00"/>
    <s v="2DA-SEP"/>
    <n v="0.3"/>
    <x v="1"/>
    <s v="SANTANDER"/>
    <m/>
    <n v="567500"/>
    <n v="0"/>
    <n v="567500"/>
    <n v="0"/>
    <n v="0"/>
    <x v="6"/>
    <n v="0.95"/>
    <d v="2012-07-23T00:00:00"/>
    <d v="2012-07-23T00:00:00"/>
    <d v="2012-07-2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1"/>
    <x v="1"/>
    <x v="1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9"/>
    <s v="PTA NORTE "/>
    <s v="030405"/>
    <n v="3"/>
    <n v="4"/>
    <n v="5"/>
    <s v="ESTRELLA DE INVIERNO"/>
    <m/>
    <x v="0"/>
    <n v="80"/>
    <m/>
    <s v="AKUA"/>
    <x v="2"/>
    <n v="1126000"/>
    <n v="238"/>
    <d v="2012-09-30T00:00:00"/>
    <s v="2DA-SEP"/>
    <n v="0.3"/>
    <x v="1"/>
    <s v="SANTANDER"/>
    <m/>
    <n v="563000"/>
    <n v="0"/>
    <n v="563000"/>
    <n v="0"/>
    <n v="0"/>
    <x v="6"/>
    <n v="0.95"/>
    <d v="2012-07-18T00:00:00"/>
    <d v="2012-07-18T00:00:00"/>
    <d v="2012-07-1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2"/>
    <x v="2"/>
    <x v="2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0"/>
    <s v="PTA NORTE "/>
    <s v="030406"/>
    <n v="3"/>
    <n v="4"/>
    <n v="6"/>
    <s v="ESTRELLA DE INVIERNO"/>
    <m/>
    <x v="0"/>
    <n v="80"/>
    <m/>
    <s v="AKUA"/>
    <x v="2"/>
    <n v="1126000"/>
    <n v="239"/>
    <d v="2012-09-30T00:00:00"/>
    <s v="2DA-SEP"/>
    <n v="0.3"/>
    <x v="1"/>
    <s v="SANTANDER"/>
    <m/>
    <n v="563000"/>
    <n v="0"/>
    <n v="563000"/>
    <n v="0"/>
    <n v="0"/>
    <x v="6"/>
    <n v="0.95"/>
    <d v="2012-07-13T00:00:00"/>
    <d v="2012-07-13T00:00:00"/>
    <d v="2012-07-1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1"/>
    <s v="PTA NORTE "/>
    <s v="030407"/>
    <n v="3"/>
    <n v="4"/>
    <n v="7"/>
    <s v="ESTRELLA DE INVIERNO"/>
    <m/>
    <x v="0"/>
    <n v="80"/>
    <m/>
    <s v="MARINE"/>
    <x v="2"/>
    <n v="1135000"/>
    <n v="240"/>
    <d v="2012-09-30T00:00:00"/>
    <s v="2DA-SEP"/>
    <n v="0.3"/>
    <x v="1"/>
    <s v="SANTANDER"/>
    <m/>
    <n v="567500"/>
    <n v="0"/>
    <n v="567500"/>
    <n v="0"/>
    <n v="0"/>
    <x v="6"/>
    <n v="0.95"/>
    <d v="2012-07-07T00:00:00"/>
    <d v="2012-07-07T00:00:00"/>
    <d v="2012-07-0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4"/>
    <x v="4"/>
    <x v="4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2"/>
    <s v="PTA NORTE "/>
    <s v="030408"/>
    <n v="3"/>
    <n v="4"/>
    <n v="8"/>
    <s v="ESTRELLA DE INVIERNO"/>
    <m/>
    <x v="0"/>
    <n v="80"/>
    <m/>
    <s v="AKUA"/>
    <x v="2"/>
    <n v="1126000"/>
    <n v="241"/>
    <d v="2012-09-30T00:00:00"/>
    <s v="2DA-SEP"/>
    <n v="0.3"/>
    <x v="1"/>
    <s v="SANTANDER"/>
    <m/>
    <n v="563000"/>
    <n v="0"/>
    <n v="563000"/>
    <n v="0"/>
    <n v="0"/>
    <x v="6"/>
    <n v="0.95"/>
    <d v="2012-07-03T00:00:00"/>
    <d v="2012-07-03T00:00:00"/>
    <d v="2012-07-0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5"/>
    <x v="5"/>
    <x v="5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3"/>
    <s v="PTA NORTE "/>
    <s v="030409"/>
    <n v="3"/>
    <n v="4"/>
    <n v="9"/>
    <s v="ESTRELLA DE INVIERNO"/>
    <m/>
    <x v="0"/>
    <n v="80"/>
    <m/>
    <s v="AKUA"/>
    <x v="2"/>
    <n v="1126000"/>
    <n v="242"/>
    <d v="2012-09-30T00:00:00"/>
    <s v="2DA-SEP"/>
    <n v="0.3"/>
    <x v="1"/>
    <s v="SANTANDER"/>
    <m/>
    <n v="563000"/>
    <n v="0"/>
    <n v="563000"/>
    <n v="0"/>
    <n v="0"/>
    <x v="6"/>
    <n v="0.95"/>
    <d v="2012-07-02T00:00:00"/>
    <d v="2012-07-02T00:00:00"/>
    <d v="2012-07-0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6"/>
    <x v="6"/>
    <x v="6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4"/>
    <s v="PTA NORTE "/>
    <s v="030410"/>
    <n v="3"/>
    <n v="4"/>
    <n v="10"/>
    <s v="ESTRELLA DE INVIERNO"/>
    <m/>
    <x v="0"/>
    <n v="80"/>
    <m/>
    <s v="MARINE"/>
    <x v="2"/>
    <n v="1135000"/>
    <n v="243"/>
    <d v="2012-09-30T00:00:00"/>
    <s v="2DA-SEP"/>
    <n v="0.3"/>
    <x v="1"/>
    <s v="SANTANDER"/>
    <m/>
    <n v="567500"/>
    <n v="0"/>
    <n v="567500"/>
    <n v="0"/>
    <n v="0"/>
    <x v="6"/>
    <n v="0.95"/>
    <d v="2012-06-28T00:00:00"/>
    <d v="2012-06-28T00:00:00"/>
    <d v="2012-06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5"/>
    <s v="PTA NORTE "/>
    <s v="030411"/>
    <n v="3"/>
    <n v="4"/>
    <n v="11"/>
    <s v="ESTRELLA DE INVIERNO"/>
    <m/>
    <x v="0"/>
    <n v="108.857"/>
    <m/>
    <s v="AKUA"/>
    <x v="2"/>
    <n v="1235656.6000000001"/>
    <n v="244"/>
    <d v="2012-09-30T00:00:00"/>
    <s v="2DA-SEP"/>
    <n v="0.3"/>
    <x v="1"/>
    <s v="SANTANDER"/>
    <m/>
    <n v="617828.30000000005"/>
    <n v="0"/>
    <n v="617828.30000000005"/>
    <n v="0"/>
    <n v="0"/>
    <x v="6"/>
    <n v="0.95"/>
    <d v="2012-06-23T00:00:00"/>
    <d v="2012-06-23T00:00:00"/>
    <d v="2012-06-2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4118.8553333333339"/>
    <n v="4118.8553333333339"/>
    <n v="4118.8553333333339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6"/>
    <s v="PTA NORTE "/>
    <s v="030412"/>
    <n v="3"/>
    <n v="4"/>
    <n v="12"/>
    <s v="ESTRELLA DE INVIERNO"/>
    <m/>
    <x v="0"/>
    <n v="116.286"/>
    <m/>
    <s v="AKUA"/>
    <x v="2"/>
    <n v="1263886.8"/>
    <n v="245"/>
    <d v="2012-09-30T00:00:00"/>
    <s v="2DA-SEP"/>
    <n v="0.3"/>
    <x v="1"/>
    <s v="SANTANDER"/>
    <m/>
    <n v="631943.4"/>
    <n v="0"/>
    <n v="631943.4"/>
    <n v="0"/>
    <n v="0"/>
    <x v="6"/>
    <n v="0.95"/>
    <d v="2012-06-17T00:00:00"/>
    <d v="2012-06-17T00:00:00"/>
    <d v="2012-06-1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4212.9560000000001"/>
    <n v="4212.9560000000001"/>
    <n v="4212.9560000000001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7"/>
    <s v="PTA NORTE "/>
    <s v="030413"/>
    <n v="3"/>
    <n v="4"/>
    <n v="13"/>
    <s v="ESTRELLA DE INVIERNO"/>
    <m/>
    <x v="0"/>
    <n v="80"/>
    <m/>
    <s v="AKUA"/>
    <x v="2"/>
    <n v="1126000"/>
    <n v="246"/>
    <d v="2012-09-30T00:00:00"/>
    <s v="2DA-SEP"/>
    <n v="0.3"/>
    <x v="1"/>
    <s v="SANTANDER"/>
    <m/>
    <n v="563000"/>
    <n v="0"/>
    <n v="563000"/>
    <n v="0"/>
    <n v="0"/>
    <x v="6"/>
    <n v="0.95"/>
    <d v="2012-06-12T00:00:00"/>
    <d v="2012-06-12T00:00:00"/>
    <d v="2012-06-1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8"/>
    <s v="PTA NORTE "/>
    <s v="030414"/>
    <n v="3"/>
    <n v="4"/>
    <n v="14"/>
    <s v="ESTRELLA DE INVIERNO"/>
    <m/>
    <x v="0"/>
    <n v="80"/>
    <m/>
    <s v="MARINE"/>
    <x v="2"/>
    <n v="1135000"/>
    <n v="247"/>
    <d v="2012-09-30T00:00:00"/>
    <s v="2DA-SEP"/>
    <n v="0.3"/>
    <x v="1"/>
    <s v="SANTANDER"/>
    <m/>
    <n v="567500"/>
    <n v="0"/>
    <n v="567500"/>
    <n v="0"/>
    <n v="0"/>
    <x v="6"/>
    <n v="0.95"/>
    <d v="2012-07-28T00:00:00"/>
    <d v="2012-07-28T00:00:00"/>
    <d v="2012-07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9"/>
    <s v="PTA NORTE "/>
    <s v="030415"/>
    <n v="3"/>
    <n v="4"/>
    <n v="15"/>
    <s v="ESTRELLA DE INVIERNO"/>
    <m/>
    <x v="0"/>
    <n v="80"/>
    <m/>
    <s v="AKUA"/>
    <x v="2"/>
    <n v="1126000"/>
    <n v="248"/>
    <d v="2012-09-30T00:00:00"/>
    <s v="2DA-SEP"/>
    <n v="0.3"/>
    <x v="1"/>
    <s v="SANTANDER"/>
    <m/>
    <n v="563000"/>
    <n v="168900"/>
    <n v="394100"/>
    <n v="0"/>
    <n v="168900"/>
    <x v="0"/>
    <n v="0.7"/>
    <d v="2012-07-23T00:00:00"/>
    <d v="2012-07-23T00:00:00"/>
    <d v="2012-07-2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1"/>
    <x v="1"/>
    <x v="1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0"/>
    <s v="PTA NORTE "/>
    <s v="030416"/>
    <n v="3"/>
    <n v="4"/>
    <n v="16"/>
    <s v="ESTRELLA DE INVIERNO"/>
    <m/>
    <x v="0"/>
    <n v="80"/>
    <m/>
    <s v="AKUA"/>
    <x v="2"/>
    <n v="1126000"/>
    <n v="249"/>
    <d v="2012-09-30T00:00:00"/>
    <s v="2DA-SEP"/>
    <n v="0.3"/>
    <x v="1"/>
    <s v="SANTANDER"/>
    <m/>
    <n v="563000"/>
    <n v="478550"/>
    <n v="84450"/>
    <n v="0"/>
    <n v="478550"/>
    <x v="1"/>
    <n v="0.15000000000000002"/>
    <d v="2012-07-18T00:00:00"/>
    <d v="2012-07-18T00:00:00"/>
    <d v="2012-07-1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2"/>
    <x v="2"/>
    <x v="2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1"/>
    <s v="PTA NORTE "/>
    <s v="030417"/>
    <n v="3"/>
    <n v="4"/>
    <n v="17"/>
    <s v="ESTRELLA DE INVIERNO"/>
    <m/>
    <x v="0"/>
    <n v="80"/>
    <m/>
    <s v="MARINE"/>
    <x v="2"/>
    <n v="1135000"/>
    <n v="250"/>
    <d v="2012-09-30T00:00:00"/>
    <s v="2DA-SEP"/>
    <n v="0.3"/>
    <x v="1"/>
    <s v="SANTANDER"/>
    <m/>
    <n v="567500"/>
    <n v="357525"/>
    <n v="209975"/>
    <n v="0"/>
    <n v="357525"/>
    <x v="2"/>
    <n v="0.35"/>
    <d v="2012-07-13T00:00:00"/>
    <d v="2012-07-13T00:00:00"/>
    <d v="2012-07-1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2"/>
    <s v="PTA NORTE "/>
    <s v="030418"/>
    <n v="3"/>
    <n v="4"/>
    <n v="18"/>
    <s v="ESTRELLA DE INVIERNO"/>
    <m/>
    <x v="0"/>
    <n v="80"/>
    <m/>
    <s v="AKUA"/>
    <x v="2"/>
    <n v="1126000"/>
    <n v="251"/>
    <d v="2012-09-30T00:00:00"/>
    <s v="2DA-SEP"/>
    <n v="0.3"/>
    <x v="1"/>
    <s v="SANTANDER"/>
    <m/>
    <n v="563000"/>
    <n v="354690"/>
    <n v="208310"/>
    <n v="0"/>
    <n v="354690"/>
    <x v="2"/>
    <n v="0.35"/>
    <d v="2012-07-07T00:00:00"/>
    <d v="2012-07-07T00:00:00"/>
    <d v="2012-07-0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4"/>
    <x v="4"/>
    <x v="4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3"/>
    <s v="PTA NORTE "/>
    <s v="030419"/>
    <n v="3"/>
    <n v="4"/>
    <n v="19"/>
    <s v="ESTRELLA DE INVIERNO"/>
    <m/>
    <x v="0"/>
    <n v="80"/>
    <m/>
    <s v="AKUA"/>
    <x v="2"/>
    <n v="1126000"/>
    <n v="252"/>
    <d v="2012-09-30T00:00:00"/>
    <s v="2DA-SEP"/>
    <n v="0.3"/>
    <x v="1"/>
    <s v="SANTANDER"/>
    <m/>
    <n v="563000"/>
    <n v="354690"/>
    <n v="208310"/>
    <n v="0"/>
    <n v="354690"/>
    <x v="2"/>
    <n v="0.35"/>
    <d v="2012-07-03T00:00:00"/>
    <d v="2012-07-03T00:00:00"/>
    <d v="2012-07-0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5"/>
    <x v="5"/>
    <x v="5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4"/>
    <s v="PTA NORTE "/>
    <s v="030420"/>
    <n v="3"/>
    <n v="4"/>
    <n v="20"/>
    <s v="ESTRELLA DE INVIERNO"/>
    <m/>
    <x v="0"/>
    <n v="80"/>
    <m/>
    <s v="MARINE"/>
    <x v="2"/>
    <n v="1135000"/>
    <n v="253"/>
    <d v="2012-09-30T00:00:00"/>
    <s v="2DA-SEP"/>
    <n v="0.3"/>
    <x v="1"/>
    <s v="SANTANDER"/>
    <m/>
    <n v="567500"/>
    <n v="357525"/>
    <n v="209975"/>
    <n v="0"/>
    <n v="357525"/>
    <x v="2"/>
    <n v="0.35"/>
    <d v="2012-07-02T00:00:00"/>
    <d v="2012-07-02T00:00:00"/>
    <d v="2012-07-0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6"/>
    <x v="6"/>
    <x v="6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5"/>
    <s v="PTA NORTE "/>
    <s v="030421"/>
    <n v="3"/>
    <n v="4"/>
    <n v="21"/>
    <s v="ESTRELLA DE INVIERNO"/>
    <m/>
    <x v="0"/>
    <n v="80"/>
    <m/>
    <s v="AKUA"/>
    <x v="2"/>
    <n v="1126000"/>
    <n v="254"/>
    <d v="2012-09-30T00:00:00"/>
    <s v="2DA-SEP"/>
    <n v="0.3"/>
    <x v="1"/>
    <s v="SANTANDER"/>
    <m/>
    <n v="563000"/>
    <n v="354690"/>
    <n v="208310"/>
    <n v="0"/>
    <n v="354690"/>
    <x v="2"/>
    <n v="0.35"/>
    <d v="2012-06-28T00:00:00"/>
    <d v="2012-06-28T00:00:00"/>
    <d v="2012-06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6"/>
    <s v="PTA NORTE "/>
    <s v="030422"/>
    <n v="3"/>
    <n v="4"/>
    <n v="22"/>
    <s v="ESTRELLA DE INVIERNO"/>
    <m/>
    <x v="0"/>
    <n v="80"/>
    <m/>
    <s v="AKUA"/>
    <x v="2"/>
    <n v="1126000"/>
    <n v="255"/>
    <d v="2012-09-30T00:00:00"/>
    <s v="2DA-SEP"/>
    <n v="0.3"/>
    <x v="1"/>
    <s v="SANTANDER"/>
    <m/>
    <n v="563000"/>
    <n v="354690"/>
    <n v="208310"/>
    <n v="0"/>
    <n v="354690"/>
    <x v="2"/>
    <n v="0.35"/>
    <d v="2012-06-23T00:00:00"/>
    <d v="2012-06-23T00:00:00"/>
    <d v="2012-06-2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3333333333335"/>
    <n v="3753.3333333333335"/>
    <n v="3753.3333333333335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7"/>
    <s v="PTA NORTE "/>
    <s v="030423"/>
    <n v="3"/>
    <n v="4"/>
    <n v="23"/>
    <s v="ESTRELLA DE INVIERNO"/>
    <m/>
    <x v="0"/>
    <n v="80"/>
    <m/>
    <s v="MARINE"/>
    <x v="2"/>
    <n v="1135000"/>
    <n v="256"/>
    <d v="2012-09-30T00:00:00"/>
    <s v="2DA-SEP"/>
    <n v="0.3"/>
    <x v="1"/>
    <s v="SANTANDER"/>
    <m/>
    <n v="567500"/>
    <n v="357525"/>
    <n v="209975"/>
    <n v="0"/>
    <n v="357525"/>
    <x v="2"/>
    <n v="0.35"/>
    <d v="2012-06-17T00:00:00"/>
    <d v="2012-06-17T00:00:00"/>
    <d v="2012-06-1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3.3333333333335"/>
    <n v="3783.3333333333335"/>
    <n v="3783.3333333333335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8"/>
    <s v="PTA NORTE "/>
    <s v="030424"/>
    <n v="3"/>
    <n v="4"/>
    <n v="24"/>
    <s v="ESTRELLA DE INVIERNO"/>
    <m/>
    <x v="0"/>
    <n v="109.501"/>
    <m/>
    <s v="AKUA"/>
    <x v="2"/>
    <n v="1238103.8"/>
    <n v="257"/>
    <d v="2012-09-30T00:00:00"/>
    <s v="2DA-SEP"/>
    <n v="0.3"/>
    <x v="1"/>
    <s v="SANTANDER"/>
    <m/>
    <n v="619051.9"/>
    <n v="390002.69700000004"/>
    <n v="229049.20299999998"/>
    <n v="0"/>
    <n v="390002.69700000004"/>
    <x v="2"/>
    <n v="0.35"/>
    <d v="2012-06-12T00:00:00"/>
    <d v="2012-06-12T00:00:00"/>
    <d v="2012-06-1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4127.0126666666665"/>
    <n v="4127.0126666666665"/>
    <n v="4127.0126666666665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9"/>
    <s v="PTA NORTE "/>
    <s v="040101"/>
    <n v="4"/>
    <n v="1"/>
    <n v="1"/>
    <s v="AV. DEL ESCORIAL"/>
    <m/>
    <x v="0"/>
    <n v="138.72200000000001"/>
    <m/>
    <s v="MARINE"/>
    <x v="1"/>
    <n v="1358143.6"/>
    <n v="258"/>
    <d v="2012-10-30T00:00:00"/>
    <s v="2DA-OCT"/>
    <n v="0.1"/>
    <x v="1"/>
    <s v="BANCOMER"/>
    <m/>
    <n v="679071.8"/>
    <n v="427815.23400000005"/>
    <n v="251256.56599999999"/>
    <n v="0"/>
    <n v="427815.23400000005"/>
    <x v="2"/>
    <n v="0.35"/>
    <d v="2012-07-28T00:00:00"/>
    <d v="2012-07-28T00:00:00"/>
    <d v="2012-07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4527.1453333333338"/>
    <n v="4527.1453333333338"/>
    <n v="4527.1453333333338"/>
    <m/>
    <m/>
    <m/>
    <m/>
    <x v="5"/>
    <s v="ND"/>
    <s v="ND"/>
    <s v="ND"/>
    <s v="NA"/>
    <s v=""/>
    <s v="NA"/>
    <s v=""/>
    <s v="NA"/>
    <s v=""/>
    <x v="3"/>
    <s v="NA"/>
    <s v="NA"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0"/>
    <s v="PTA NORTE "/>
    <s v="040102"/>
    <n v="4"/>
    <n v="1"/>
    <n v="2"/>
    <s v="CAMPO ALEGRE"/>
    <m/>
    <x v="0"/>
    <n v="130.87899999999999"/>
    <m/>
    <s v="MARINE"/>
    <x v="1"/>
    <n v="1328340.2"/>
    <n v="259"/>
    <d v="2012-10-30T00:00:00"/>
    <s v="2DA-OCT"/>
    <n v="0.1"/>
    <x v="1"/>
    <s v="BANCOMER"/>
    <m/>
    <n v="664170.1"/>
    <n v="418427.163"/>
    <n v="245742.93699999998"/>
    <n v="0"/>
    <n v="418427.163"/>
    <x v="2"/>
    <n v="0.35"/>
    <d v="2012-07-23T00:00:00"/>
    <d v="2012-07-23T00:00:00"/>
    <d v="2012-07-2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4427.800666666667"/>
    <n v="4427.800666666667"/>
    <n v="4427.800666666667"/>
    <m/>
    <m/>
    <m/>
    <m/>
    <x v="5"/>
    <s v="ND"/>
    <s v="ND"/>
    <s v="ND"/>
    <s v="NA"/>
    <s v=""/>
    <s v="NA"/>
    <s v=""/>
    <s v="NA"/>
    <s v=""/>
    <x v="3"/>
    <s v="NA"/>
    <s v="NA"/>
    <x v="1"/>
    <x v="1"/>
    <x v="1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1"/>
    <s v="PTA NORTE "/>
    <s v="050101"/>
    <n v="5"/>
    <n v="1"/>
    <n v="1"/>
    <s v="TALAVERA"/>
    <m/>
    <x v="0"/>
    <n v="80.302999999999997"/>
    <m/>
    <s v="MARINE"/>
    <x v="0"/>
    <n v="1136151.3999999999"/>
    <n v="260"/>
    <d v="2012-12-15T00:00:00"/>
    <s v="2DA-DIC"/>
    <n v="0"/>
    <x v="1"/>
    <s v="BANCOMER"/>
    <m/>
    <n v="568075.69999999995"/>
    <n v="357887.69099999999"/>
    <n v="210188.00899999996"/>
    <n v="0"/>
    <n v="357887.69099999999"/>
    <x v="2"/>
    <n v="0.35"/>
    <d v="2012-07-18T00:00:00"/>
    <d v="2012-07-18T00:00:00"/>
    <d v="2012-07-1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87.1713333333332"/>
    <n v="3787.1713333333332"/>
    <n v="3787.1713333333332"/>
    <m/>
    <m/>
    <m/>
    <m/>
    <x v="5"/>
    <s v="ND"/>
    <s v="ND"/>
    <s v="ND"/>
    <s v="NA"/>
    <s v=""/>
    <s v="NA"/>
    <s v=""/>
    <s v="NA"/>
    <s v=""/>
    <x v="3"/>
    <s v="NA"/>
    <s v="NA"/>
    <x v="2"/>
    <x v="2"/>
    <x v="2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2"/>
    <s v="PTA NORTE "/>
    <s v="060101"/>
    <n v="6"/>
    <n v="1"/>
    <n v="1"/>
    <s v="TARRAGONA"/>
    <m/>
    <x v="0"/>
    <n v="102.812"/>
    <m/>
    <s v="MARINE"/>
    <x v="0"/>
    <n v="1221685.6000000001"/>
    <n v="261"/>
    <d v="2012-12-15T00:00:00"/>
    <s v="2DA-DIC"/>
    <n v="0"/>
    <x v="1"/>
    <s v="BANCOMER"/>
    <m/>
    <n v="610842.80000000005"/>
    <n v="244337.12000000002"/>
    <n v="366505.68000000005"/>
    <n v="0"/>
    <n v="244337.12000000002"/>
    <x v="3"/>
    <n v="0.6"/>
    <d v="2012-07-13T00:00:00"/>
    <d v="2012-07-13T00:00:00"/>
    <d v="2012-07-1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4072.2853333333337"/>
    <n v="4072.2853333333337"/>
    <n v="4072.2853333333337"/>
    <m/>
    <m/>
    <m/>
    <m/>
    <x v="5"/>
    <s v="ND"/>
    <s v="ND"/>
    <s v="ND"/>
    <s v="NA"/>
    <s v=""/>
    <s v="NA"/>
    <s v=""/>
    <s v="NA"/>
    <s v=""/>
    <x v="3"/>
    <s v="NA"/>
    <s v="NA"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3"/>
    <s v="PTA NORTE "/>
    <s v="060102"/>
    <n v="6"/>
    <n v="1"/>
    <n v="2"/>
    <s v="TARRAGONA"/>
    <m/>
    <x v="0"/>
    <n v="91.775999999999996"/>
    <m/>
    <s v="AKUA"/>
    <x v="0"/>
    <n v="1170748.8"/>
    <n v="262"/>
    <d v="2012-12-15T00:00:00"/>
    <s v="2DA-DIC"/>
    <n v="0"/>
    <x v="1"/>
    <s v="BANCOMER"/>
    <m/>
    <n v="585374.4"/>
    <n v="234149.76000000001"/>
    <n v="351224.64"/>
    <n v="0"/>
    <n v="234149.76000000001"/>
    <x v="3"/>
    <n v="0.6"/>
    <d v="2012-07-07T00:00:00"/>
    <d v="2012-07-07T00:00:00"/>
    <d v="2012-07-0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902.4960000000005"/>
    <n v="3902.4960000000005"/>
    <n v="3902.4960000000005"/>
    <m/>
    <m/>
    <m/>
    <m/>
    <x v="5"/>
    <s v="ND"/>
    <s v="ND"/>
    <s v="ND"/>
    <s v="NA"/>
    <s v=""/>
    <s v="NA"/>
    <s v=""/>
    <s v="NA"/>
    <s v=""/>
    <x v="3"/>
    <s v="NA"/>
    <s v="NA"/>
    <x v="4"/>
    <x v="4"/>
    <x v="4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4"/>
    <s v="PTA NORTE "/>
    <s v="060103"/>
    <n v="6"/>
    <n v="1"/>
    <n v="3"/>
    <s v="TARRAGONA"/>
    <m/>
    <x v="0"/>
    <n v="89.816999999999993"/>
    <m/>
    <s v="AKUA"/>
    <x v="0"/>
    <n v="1163304.6000000001"/>
    <n v="263"/>
    <d v="2012-12-15T00:00:00"/>
    <s v="2DA-DIC"/>
    <n v="0"/>
    <x v="1"/>
    <s v="BANCOMER"/>
    <m/>
    <n v="581652.30000000005"/>
    <n v="232660.92000000004"/>
    <n v="348991.38"/>
    <n v="0"/>
    <n v="232660.92000000004"/>
    <x v="3"/>
    <n v="0.6"/>
    <d v="2012-07-03T00:00:00"/>
    <d v="2012-07-03T00:00:00"/>
    <d v="2012-07-0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877.6820000000002"/>
    <n v="3877.6820000000002"/>
    <n v="3877.6820000000002"/>
    <m/>
    <m/>
    <m/>
    <m/>
    <x v="5"/>
    <s v="ND"/>
    <s v="ND"/>
    <s v="ND"/>
    <s v="NA"/>
    <s v=""/>
    <s v="NA"/>
    <s v=""/>
    <s v="NA"/>
    <s v=""/>
    <x v="3"/>
    <s v="NA"/>
    <s v="NA"/>
    <x v="5"/>
    <x v="5"/>
    <x v="5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5"/>
    <s v="PTA NORTE "/>
    <s v="060104"/>
    <n v="6"/>
    <n v="1"/>
    <n v="4"/>
    <s v="TARRAGONA"/>
    <m/>
    <x v="0"/>
    <n v="87.858999999999995"/>
    <m/>
    <s v="MARINE"/>
    <x v="0"/>
    <n v="1164864.2"/>
    <n v="264"/>
    <d v="2012-12-15T00:00:00"/>
    <s v="2DA-DIC"/>
    <n v="0"/>
    <x v="1"/>
    <s v="BANCOMER"/>
    <m/>
    <n v="582432.1"/>
    <n v="232972.84"/>
    <n v="349459.26"/>
    <n v="0"/>
    <n v="232972.84"/>
    <x v="3"/>
    <n v="0.6"/>
    <d v="2012-07-02T00:00:00"/>
    <d v="2012-07-02T00:00:00"/>
    <d v="2012-07-0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882.8806666666665"/>
    <n v="3882.8806666666665"/>
    <n v="3882.8806666666665"/>
    <m/>
    <m/>
    <m/>
    <m/>
    <x v="5"/>
    <s v="ND"/>
    <s v="ND"/>
    <s v="ND"/>
    <s v="NA"/>
    <s v=""/>
    <s v="NA"/>
    <s v=""/>
    <s v="NA"/>
    <s v=""/>
    <x v="3"/>
    <s v="NA"/>
    <s v="NA"/>
    <x v="6"/>
    <x v="6"/>
    <x v="6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6"/>
    <s v="PTA NORTE "/>
    <s v="060105"/>
    <n v="6"/>
    <n v="1"/>
    <n v="5"/>
    <s v="TARRAGONA"/>
    <m/>
    <x v="0"/>
    <n v="85.900999999999996"/>
    <m/>
    <s v="AKUA"/>
    <x v="0"/>
    <n v="1148423.8"/>
    <n v="265"/>
    <d v="2012-12-15T00:00:00"/>
    <s v="2DA-DIC"/>
    <n v="0"/>
    <x v="1"/>
    <s v="BANCOMER"/>
    <m/>
    <n v="574211.9"/>
    <n v="229684.76"/>
    <n v="344527.14"/>
    <n v="0"/>
    <n v="229684.76"/>
    <x v="3"/>
    <n v="0.6"/>
    <d v="2012-06-28T00:00:00"/>
    <d v="2012-06-28T00:00:00"/>
    <d v="2012-06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828.0793333333336"/>
    <n v="3828.0793333333336"/>
    <n v="3828.0793333333336"/>
    <m/>
    <m/>
    <m/>
    <m/>
    <x v="5"/>
    <s v="ND"/>
    <s v="ND"/>
    <s v="ND"/>
    <s v="NA"/>
    <s v=""/>
    <s v="NA"/>
    <s v=""/>
    <s v="NA"/>
    <s v=""/>
    <x v="3"/>
    <s v="NA"/>
    <s v="NA"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7"/>
    <s v="PTA NORTE "/>
    <s v="060106"/>
    <n v="6"/>
    <n v="1"/>
    <n v="6"/>
    <s v="TARRAGONA"/>
    <m/>
    <x v="0"/>
    <n v="83.941999999999993"/>
    <m/>
    <s v="AKUA"/>
    <x v="0"/>
    <n v="1140979.5999999999"/>
    <n v="266"/>
    <d v="2012-12-15T00:00:00"/>
    <s v="2DA-DIC"/>
    <n v="0"/>
    <x v="1"/>
    <s v="BANCOMER"/>
    <m/>
    <n v="570489.79999999993"/>
    <n v="228195.91999999998"/>
    <n v="342293.87999999995"/>
    <n v="0"/>
    <n v="228195.91999999998"/>
    <x v="3"/>
    <n v="0.6"/>
    <d v="2012-06-23T00:00:00"/>
    <d v="2012-06-23T00:00:00"/>
    <d v="2012-06-2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803.2653333333328"/>
    <n v="3803.2653333333328"/>
    <n v="3803.2653333333328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8"/>
    <s v="PTA NORTE "/>
    <s v="060107"/>
    <n v="6"/>
    <n v="1"/>
    <n v="7"/>
    <s v="TARRAGONA"/>
    <m/>
    <x v="0"/>
    <n v="81.983999999999995"/>
    <m/>
    <s v="MARINE"/>
    <x v="0"/>
    <n v="1142539.2"/>
    <n v="267"/>
    <d v="2012-12-15T00:00:00"/>
    <s v="2DA-DIC"/>
    <n v="0"/>
    <x v="1"/>
    <s v="BANCOMER"/>
    <m/>
    <n v="571269.6"/>
    <n v="228507.84"/>
    <n v="342761.76"/>
    <n v="0"/>
    <n v="228507.84"/>
    <x v="3"/>
    <n v="0.6"/>
    <d v="2012-06-17T00:00:00"/>
    <d v="2012-06-17T00:00:00"/>
    <d v="2012-06-17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808.4639999999999"/>
    <n v="3808.4639999999999"/>
    <n v="3808.4639999999999"/>
    <m/>
    <m/>
    <m/>
    <m/>
    <x v="5"/>
    <s v="ND"/>
    <s v="ND"/>
    <s v="ND"/>
    <s v="NA"/>
    <s v=""/>
    <s v="NA"/>
    <s v=""/>
    <s v="NA"/>
    <s v=""/>
    <x v="3"/>
    <s v="NA"/>
    <s v="NA"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9"/>
    <s v="PTA NORTE "/>
    <s v="060108"/>
    <n v="6"/>
    <n v="1"/>
    <n v="8"/>
    <s v="TARRAGONA"/>
    <m/>
    <x v="0"/>
    <n v="80.025999999999996"/>
    <m/>
    <s v="AKUA"/>
    <x v="0"/>
    <n v="1126098.8"/>
    <n v="268"/>
    <d v="2012-12-15T00:00:00"/>
    <s v="2DA-DIC"/>
    <n v="0"/>
    <x v="1"/>
    <s v="BANCOMER"/>
    <m/>
    <n v="563049.4"/>
    <n v="225219.76"/>
    <n v="337829.64"/>
    <n v="0"/>
    <n v="225219.76"/>
    <x v="3"/>
    <n v="0.6"/>
    <d v="2012-06-12T00:00:00"/>
    <d v="2012-06-12T00:00:00"/>
    <d v="2012-06-12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53.6626666666671"/>
    <n v="3753.6626666666671"/>
    <n v="3753.6626666666671"/>
    <m/>
    <m/>
    <m/>
    <m/>
    <x v="5"/>
    <s v="ND"/>
    <s v="ND"/>
    <s v="ND"/>
    <s v="NA"/>
    <s v=""/>
    <s v="NA"/>
    <s v=""/>
    <s v="NA"/>
    <s v=""/>
    <x v="3"/>
    <s v="NA"/>
    <s v="NA"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30"/>
    <s v="PTA NORTE "/>
    <s v="060109"/>
    <n v="6"/>
    <n v="1"/>
    <n v="9"/>
    <s v="TARRAGONA"/>
    <m/>
    <x v="0"/>
    <n v="81.149000000000001"/>
    <m/>
    <s v="AKUA"/>
    <x v="0"/>
    <n v="1130366.2"/>
    <n v="269"/>
    <d v="2012-12-15T00:00:00"/>
    <s v="2DA-DIC"/>
    <n v="0"/>
    <x v="1"/>
    <s v="BANCOMER"/>
    <m/>
    <n v="565183.1"/>
    <n v="226073.24"/>
    <n v="339109.86"/>
    <n v="0"/>
    <n v="226073.24"/>
    <x v="3"/>
    <n v="0.6"/>
    <d v="2012-07-28T00:00:00"/>
    <d v="2012-07-28T00:00:00"/>
    <d v="2012-07-2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767.8873333333336"/>
    <n v="3767.8873333333336"/>
    <n v="3767.8873333333336"/>
    <m/>
    <m/>
    <m/>
    <m/>
    <x v="5"/>
    <s v="ND"/>
    <s v="ND"/>
    <s v="ND"/>
    <s v="NA"/>
    <s v=""/>
    <s v="NA"/>
    <s v=""/>
    <s v="NA"/>
    <s v=""/>
    <x v="3"/>
    <s v="NA"/>
    <s v="NA"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31"/>
    <s v="PTA NORTE "/>
    <s v="060110"/>
    <n v="6"/>
    <n v="1"/>
    <n v="10"/>
    <s v="TARRAGONA"/>
    <m/>
    <x v="0"/>
    <n v="82.01"/>
    <m/>
    <s v="MARINE"/>
    <x v="0"/>
    <n v="1142638"/>
    <n v="270"/>
    <d v="2012-12-15T00:00:00"/>
    <s v="2DA-DIC"/>
    <n v="0"/>
    <x v="1"/>
    <s v="BANCOMER"/>
    <m/>
    <n v="571319"/>
    <n v="228527.6"/>
    <n v="342791.4"/>
    <n v="0"/>
    <n v="228527.6"/>
    <x v="3"/>
    <n v="0.6"/>
    <d v="2012-07-23T00:00:00"/>
    <d v="2012-07-23T00:00:00"/>
    <d v="2012-07-2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808.7933333333335"/>
    <n v="3808.7933333333335"/>
    <n v="3808.7933333333335"/>
    <m/>
    <m/>
    <m/>
    <m/>
    <x v="5"/>
    <s v="ND"/>
    <s v="ND"/>
    <s v="ND"/>
    <s v="NA"/>
    <s v=""/>
    <s v="NA"/>
    <s v=""/>
    <s v="NA"/>
    <s v=""/>
    <x v="3"/>
    <s v="NA"/>
    <s v="NA"/>
    <x v="1"/>
    <x v="1"/>
    <x v="1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32"/>
    <s v="PTA NORTE "/>
    <s v="060111"/>
    <n v="6"/>
    <n v="1"/>
    <n v="11"/>
    <s v="TALAVERA"/>
    <m/>
    <x v="0"/>
    <n v="147.453"/>
    <m/>
    <s v="MARINE"/>
    <x v="0"/>
    <n v="1391321.4"/>
    <n v="271"/>
    <d v="2012-12-15T00:00:00"/>
    <s v="2DA-DIC"/>
    <n v="0"/>
    <x v="1"/>
    <s v="BANCOMER"/>
    <m/>
    <n v="695660.7"/>
    <n v="278264.27999999997"/>
    <n v="417396.42"/>
    <n v="0"/>
    <n v="278264.27999999997"/>
    <x v="3"/>
    <n v="0.6"/>
    <d v="2012-07-18T00:00:00"/>
    <d v="2012-07-18T00:00:00"/>
    <d v="2012-07-18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4637.7380000000003"/>
    <n v="4637.7380000000003"/>
    <n v="4637.7380000000003"/>
    <m/>
    <m/>
    <m/>
    <m/>
    <x v="5"/>
    <s v="ND"/>
    <s v="ND"/>
    <s v="ND"/>
    <s v="NA"/>
    <s v=""/>
    <s v="NA"/>
    <s v=""/>
    <s v="NA"/>
    <s v=""/>
    <x v="3"/>
    <s v="NA"/>
    <s v="NA"/>
    <x v="2"/>
    <x v="2"/>
    <x v="2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33"/>
    <s v="PTA NORTE "/>
    <s v="060112"/>
    <n v="6"/>
    <n v="1"/>
    <n v="12"/>
    <s v="TALAVERA"/>
    <m/>
    <x v="0"/>
    <n v="91.872"/>
    <m/>
    <s v="AKUA"/>
    <x v="0"/>
    <n v="1171113.6000000001"/>
    <n v="272"/>
    <d v="2012-12-15T00:00:00"/>
    <s v="2DA-DIC"/>
    <n v="0"/>
    <x v="1"/>
    <s v="BANCOMER"/>
    <m/>
    <n v="585556.80000000005"/>
    <n v="117111.36000000002"/>
    <n v="468445.44000000006"/>
    <n v="0"/>
    <n v="117111.36000000002"/>
    <x v="4"/>
    <n v="0.8"/>
    <d v="2012-07-13T00:00:00"/>
    <d v="2012-07-13T00:00:00"/>
    <d v="2012-07-13T00:00:00"/>
    <m/>
    <x v="0"/>
    <m/>
    <m/>
    <m/>
    <m/>
    <m/>
    <m/>
    <m/>
    <m/>
    <m/>
    <m/>
    <s v="NA"/>
    <s v=""/>
    <m/>
    <x v="0"/>
    <x v="2"/>
    <x v="1"/>
    <m/>
    <x v="4"/>
    <m/>
    <x v="5"/>
    <m/>
    <m/>
    <m/>
    <m/>
    <m/>
    <m/>
    <m/>
    <m/>
    <m/>
    <x v="3"/>
    <x v="2"/>
    <x v="2"/>
    <n v="0.01"/>
    <n v="3903.712"/>
    <n v="3903.712"/>
    <n v="3903.712"/>
    <m/>
    <m/>
    <m/>
    <m/>
    <x v="5"/>
    <s v="ND"/>
    <s v="ND"/>
    <s v="ND"/>
    <s v="NA"/>
    <s v=""/>
    <s v="NA"/>
    <s v=""/>
    <s v="NA"/>
    <s v=""/>
    <x v="3"/>
    <s v="NA"/>
    <s v="NA"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07T00:00:00"/>
    <d v="2012-07-07T00:00:00"/>
    <d v="2012-07-07T00:00:00"/>
    <d v="2012-05-14T00:00:00"/>
    <x v="1"/>
    <s v="ROSA ROSAS SANCHEZ"/>
    <m/>
    <m/>
    <m/>
    <m/>
    <m/>
    <m/>
    <m/>
    <m/>
    <m/>
    <s v="SEM 20"/>
    <s v="MAY"/>
    <n v="14500"/>
    <x v="2"/>
    <x v="5"/>
    <x v="2"/>
    <s v="COFINAVIT"/>
    <x v="5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4"/>
    <x v="4"/>
    <x v="4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03T00:00:00"/>
    <d v="2012-07-03T00:00:00"/>
    <d v="2012-07-03T00:00:00"/>
    <d v="2012-06-07T00:00:00"/>
    <x v="3"/>
    <s v="GABRIELA ELIZONDO VELASCO"/>
    <m/>
    <m/>
    <m/>
    <m/>
    <m/>
    <m/>
    <m/>
    <m/>
    <m/>
    <s v="SEM 23"/>
    <s v="JUN"/>
    <n v="17000"/>
    <x v="2"/>
    <x v="0"/>
    <x v="3"/>
    <s v="ALIA2"/>
    <x v="5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5"/>
    <x v="5"/>
    <x v="5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02T00:00:00"/>
    <d v="2012-07-02T00:00:00"/>
    <d v="2012-07-02T00:00:00"/>
    <d v="2012-05-30T00:00:00"/>
    <x v="1"/>
    <s v="JAVIER GARCIA ARIAS"/>
    <m/>
    <m/>
    <m/>
    <m/>
    <m/>
    <m/>
    <m/>
    <m/>
    <m/>
    <s v="SEM 22"/>
    <s v="MAY"/>
    <n v="24000"/>
    <x v="1"/>
    <x v="0"/>
    <x v="4"/>
    <s v="BANCOS"/>
    <x v="0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6"/>
    <x v="6"/>
    <x v="6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28T00:00:00"/>
    <d v="2012-06-28T00:00:00"/>
    <d v="2012-06-28T00:00:00"/>
    <d v="2012-05-14T00:00:00"/>
    <x v="1"/>
    <s v="ALBERTO LEDEZMA OLEA"/>
    <m/>
    <m/>
    <m/>
    <m/>
    <m/>
    <m/>
    <m/>
    <m/>
    <m/>
    <s v="SEM 20"/>
    <s v="MAY"/>
    <n v="80000"/>
    <x v="6"/>
    <x v="0"/>
    <x v="3"/>
    <s v="BANCOS"/>
    <x v="0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23T00:00:00"/>
    <d v="2012-06-23T00:00:00"/>
    <d v="2012-06-23T00:00:00"/>
    <d v="2012-05-30T00:00:00"/>
    <x v="1"/>
    <s v="ESTEFANIA ENRIQUEZ SANCHEZ"/>
    <m/>
    <m/>
    <m/>
    <m/>
    <m/>
    <m/>
    <m/>
    <m/>
    <m/>
    <s v="SEM 22"/>
    <s v="MAY"/>
    <n v="24000"/>
    <x v="1"/>
    <x v="0"/>
    <x v="4"/>
    <s v="BANCOS"/>
    <x v="0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17T00:00:00"/>
    <d v="2012-06-17T00:00:00"/>
    <d v="2012-06-17T00:00:00"/>
    <d v="2012-05-30T00:00:00"/>
    <x v="1"/>
    <s v="ANA DE ANDA PEREZ"/>
    <m/>
    <m/>
    <m/>
    <m/>
    <m/>
    <m/>
    <m/>
    <m/>
    <m/>
    <s v="SEM 22"/>
    <s v="MAY"/>
    <n v="22000"/>
    <x v="1"/>
    <x v="0"/>
    <x v="3"/>
    <s v="ALIA2"/>
    <x v="0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12T00:00:00"/>
    <d v="2012-06-12T00:00:00"/>
    <d v="2012-06-12T00:00:00"/>
    <d v="2012-07-01T00:00:00"/>
    <x v="4"/>
    <s v="ROSA ORTIZ ROSAS"/>
    <m/>
    <m/>
    <m/>
    <m/>
    <m/>
    <m/>
    <m/>
    <m/>
    <m/>
    <s v="SEM 27"/>
    <s v="JUL"/>
    <n v="17000"/>
    <x v="2"/>
    <x v="6"/>
    <x v="4"/>
    <s v="ALIA2"/>
    <x v="3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28T00:00:00"/>
    <d v="2012-07-28T00:00:00"/>
    <d v="2012-07-28T00:00:00"/>
    <d v="2012-03-30T00:00:00"/>
    <x v="1"/>
    <s v="IVONNE BECERRA WIBON"/>
    <m/>
    <m/>
    <m/>
    <m/>
    <m/>
    <m/>
    <m/>
    <m/>
    <m/>
    <s v="SEM 13"/>
    <s v="MAR"/>
    <n v="12000"/>
    <x v="3"/>
    <x v="1"/>
    <x v="4"/>
    <s v="ALIA2"/>
    <x v="3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23T00:00:00"/>
    <d v="2012-07-23T00:00:00"/>
    <d v="2012-07-23T00:00:00"/>
    <d v="2012-05-14T00:00:00"/>
    <x v="1"/>
    <s v="JOSE DEL TORO CARTER"/>
    <m/>
    <m/>
    <m/>
    <m/>
    <m/>
    <m/>
    <m/>
    <m/>
    <m/>
    <s v="SEM 20"/>
    <s v="MAY"/>
    <n v="32000"/>
    <x v="4"/>
    <x v="3"/>
    <x v="2"/>
    <s v="ALIA2"/>
    <x v="3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1"/>
    <x v="1"/>
    <x v="1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18T00:00:00"/>
    <d v="2012-07-18T00:00:00"/>
    <d v="2012-07-18T00:00:00"/>
    <d v="2012-06-07T00:00:00"/>
    <x v="3"/>
    <s v="JAVIER SANCHEZ DEL TORO"/>
    <m/>
    <m/>
    <m/>
    <m/>
    <m/>
    <m/>
    <m/>
    <m/>
    <m/>
    <s v="SEM 23"/>
    <s v="JUN"/>
    <n v="7000"/>
    <x v="3"/>
    <x v="7"/>
    <x v="2"/>
    <s v="ALIA2"/>
    <x v="1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2"/>
    <x v="2"/>
    <x v="2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13T00:00:00"/>
    <d v="2012-07-13T00:00:00"/>
    <d v="2012-07-13T00:00:00"/>
    <d v="2012-06-07T00:00:00"/>
    <x v="3"/>
    <s v="LUIS CORTES ARAGON"/>
    <m/>
    <m/>
    <m/>
    <m/>
    <m/>
    <m/>
    <m/>
    <m/>
    <m/>
    <s v="SEM 23"/>
    <s v="JUN"/>
    <n v="8000"/>
    <x v="3"/>
    <x v="5"/>
    <x v="2"/>
    <s v="OTROS"/>
    <x v="1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07T00:00:00"/>
    <d v="2012-07-07T00:00:00"/>
    <d v="2012-07-07T00:00:00"/>
    <d v="2012-05-14T00:00:00"/>
    <x v="1"/>
    <s v="JUAN RAZO DIAZ"/>
    <m/>
    <m/>
    <m/>
    <m/>
    <m/>
    <m/>
    <m/>
    <m/>
    <m/>
    <s v="SEM 20"/>
    <s v="MAY"/>
    <n v="15000"/>
    <x v="2"/>
    <x v="5"/>
    <x v="2"/>
    <s v="OTROS"/>
    <x v="2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4"/>
    <x v="4"/>
    <x v="4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03T00:00:00"/>
    <d v="2012-07-03T00:00:00"/>
    <d v="2012-07-03T00:00:00"/>
    <d v="2012-07-11T00:00:00"/>
    <x v="5"/>
    <s v="JUAN SANCHEZ ALDANA"/>
    <m/>
    <m/>
    <m/>
    <m/>
    <m/>
    <m/>
    <m/>
    <m/>
    <m/>
    <s v="SEM 28"/>
    <s v="JUL"/>
    <n v="21000"/>
    <x v="1"/>
    <x v="5"/>
    <x v="2"/>
    <s v="IPEJAL"/>
    <x v="2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5"/>
    <x v="5"/>
    <x v="5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02T00:00:00"/>
    <d v="2012-07-02T00:00:00"/>
    <d v="2012-07-02T00:00:00"/>
    <d v="2012-06-07T00:00:00"/>
    <x v="3"/>
    <s v="RODRIGO MEDINA ALCAR"/>
    <m/>
    <m/>
    <m/>
    <m/>
    <m/>
    <m/>
    <m/>
    <m/>
    <m/>
    <s v="SEM 23"/>
    <s v="JUN"/>
    <n v="44000"/>
    <x v="5"/>
    <x v="5"/>
    <x v="2"/>
    <s v="INFONAVIT"/>
    <x v="3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6"/>
    <x v="6"/>
    <x v="6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28T00:00:00"/>
    <d v="2012-06-28T00:00:00"/>
    <d v="2012-06-28T00:00:00"/>
    <d v="2012-06-07T00:00:00"/>
    <x v="3"/>
    <s v="ROSA DIEZ NUÑO"/>
    <m/>
    <m/>
    <m/>
    <m/>
    <m/>
    <m/>
    <m/>
    <m/>
    <m/>
    <s v="SEM 23"/>
    <s v="JUN"/>
    <n v="17000"/>
    <x v="2"/>
    <x v="4"/>
    <x v="2"/>
    <s v="INFONAVIT"/>
    <x v="5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23T00:00:00"/>
    <d v="2012-06-23T00:00:00"/>
    <d v="2012-06-23T00:00:00"/>
    <d v="2012-06-07T00:00:00"/>
    <x v="3"/>
    <s v="GERARDO MEZA SOLIS"/>
    <m/>
    <m/>
    <m/>
    <m/>
    <m/>
    <m/>
    <m/>
    <m/>
    <m/>
    <s v="SEM 23"/>
    <s v="JUN"/>
    <n v="23000"/>
    <x v="1"/>
    <x v="4"/>
    <x v="2"/>
    <s v="COFINAVIT"/>
    <x v="5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17T00:00:00"/>
    <d v="2012-06-17T00:00:00"/>
    <d v="2012-06-17T00:00:00"/>
    <d v="2012-07-01T00:00:00"/>
    <x v="4"/>
    <s v="BRENDA ARAGON PEZ"/>
    <m/>
    <m/>
    <m/>
    <m/>
    <m/>
    <m/>
    <m/>
    <m/>
    <m/>
    <s v="SEM 27"/>
    <s v="JUL"/>
    <n v="12000"/>
    <x v="3"/>
    <x v="1"/>
    <x v="3"/>
    <s v="COFINAVIT"/>
    <x v="5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12T00:00:00"/>
    <d v="2012-06-12T00:00:00"/>
    <d v="2012-06-12T00:00:00"/>
    <d v="2012-07-01T00:00:00"/>
    <x v="4"/>
    <s v="ALEJANDRA ORTIZ SOLA"/>
    <m/>
    <m/>
    <m/>
    <m/>
    <m/>
    <m/>
    <m/>
    <m/>
    <m/>
    <s v="SEM 27"/>
    <s v="JUL"/>
    <n v="12000"/>
    <x v="3"/>
    <x v="1"/>
    <x v="3"/>
    <s v="COFINAVIT"/>
    <x v="0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28T00:00:00"/>
    <d v="2012-07-28T00:00:00"/>
    <d v="2012-07-28T00:00:00"/>
    <d v="2012-04-14T00:00:00"/>
    <x v="1"/>
    <s v="ANDREA CASTELLANOS ROCHA"/>
    <m/>
    <m/>
    <m/>
    <m/>
    <m/>
    <m/>
    <m/>
    <m/>
    <m/>
    <s v="SEM 15"/>
    <s v="ABR"/>
    <n v="8500"/>
    <x v="3"/>
    <x v="6"/>
    <x v="3"/>
    <s v="COFINAVIT"/>
    <x v="0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23T00:00:00"/>
    <d v="2012-07-23T00:00:00"/>
    <d v="2012-07-23T00:00:00"/>
    <d v="2012-04-14T00:00:00"/>
    <x v="1"/>
    <s v="ALBERTO SUCAR MIGUEL"/>
    <m/>
    <m/>
    <m/>
    <m/>
    <m/>
    <m/>
    <m/>
    <m/>
    <m/>
    <s v="SEM 15"/>
    <s v="ABR"/>
    <n v="14500"/>
    <x v="2"/>
    <x v="6"/>
    <x v="5"/>
    <s v="COFINAVIT"/>
    <x v="0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1"/>
    <x v="1"/>
    <x v="1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18T00:00:00"/>
    <d v="2012-07-18T00:00:00"/>
    <d v="2012-07-18T00:00:00"/>
    <d v="2012-04-20T00:00:00"/>
    <x v="1"/>
    <s v="JAVIER SANCHEZ GONZALEZ"/>
    <m/>
    <m/>
    <m/>
    <m/>
    <m/>
    <m/>
    <m/>
    <m/>
    <m/>
    <s v="SEM 16"/>
    <s v="ABR"/>
    <n v="17000"/>
    <x v="2"/>
    <x v="4"/>
    <x v="5"/>
    <s v="INFONAVIT"/>
    <x v="0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2"/>
    <x v="2"/>
    <x v="2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13T00:00:00"/>
    <d v="2012-07-13T00:00:00"/>
    <d v="2012-07-13T00:00:00"/>
    <d v="2012-04-26T00:00:00"/>
    <x v="1"/>
    <s v="ROSA ROSAS SANCHEZ"/>
    <m/>
    <m/>
    <m/>
    <m/>
    <m/>
    <m/>
    <m/>
    <m/>
    <m/>
    <s v="SEM 17"/>
    <s v="ABR"/>
    <n v="24000"/>
    <x v="1"/>
    <x v="5"/>
    <x v="2"/>
    <s v="COFINAVIT"/>
    <x v="3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07T00:00:00"/>
    <d v="2012-07-07T00:00:00"/>
    <d v="2012-07-07T00:00:00"/>
    <d v="2012-05-02T00:00:00"/>
    <x v="1"/>
    <s v="GABRIELA ELIZONDO VELASCO"/>
    <m/>
    <m/>
    <m/>
    <m/>
    <m/>
    <m/>
    <m/>
    <m/>
    <m/>
    <s v="SEM 18"/>
    <s v="MAY"/>
    <n v="80000"/>
    <x v="6"/>
    <x v="0"/>
    <x v="3"/>
    <s v="ALIA2"/>
    <x v="3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4"/>
    <x v="4"/>
    <x v="4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03T00:00:00"/>
    <d v="2012-07-03T00:00:00"/>
    <d v="2012-07-03T00:00:00"/>
    <d v="2012-05-08T00:00:00"/>
    <x v="1"/>
    <s v="JAVIER GARCIA ARIAS"/>
    <m/>
    <m/>
    <m/>
    <m/>
    <m/>
    <m/>
    <m/>
    <m/>
    <m/>
    <s v="SEM 19"/>
    <s v="MAY"/>
    <n v="24000"/>
    <x v="1"/>
    <x v="0"/>
    <x v="4"/>
    <s v="BANCOS"/>
    <x v="3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5"/>
    <x v="5"/>
    <x v="5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02T00:00:00"/>
    <d v="2012-07-02T00:00:00"/>
    <d v="2012-07-02T00:00:00"/>
    <d v="2012-05-14T00:00:00"/>
    <x v="1"/>
    <s v="ALBERTO LEDEZMA OLEA"/>
    <m/>
    <m/>
    <m/>
    <m/>
    <m/>
    <m/>
    <m/>
    <m/>
    <m/>
    <s v="SEM 20"/>
    <s v="MAY"/>
    <n v="22000"/>
    <x v="1"/>
    <x v="0"/>
    <x v="3"/>
    <s v="BANCOS"/>
    <x v="1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6"/>
    <x v="6"/>
    <x v="6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28T00:00:00"/>
    <d v="2012-06-28T00:00:00"/>
    <d v="2012-06-28T00:00:00"/>
    <d v="2012-05-20T00:00:00"/>
    <x v="1"/>
    <s v="ESTEFANIA ENRIQUEZ SANCHEZ"/>
    <m/>
    <m/>
    <m/>
    <m/>
    <m/>
    <m/>
    <m/>
    <m/>
    <m/>
    <s v="SEM 21"/>
    <s v="MAY"/>
    <n v="17000"/>
    <x v="2"/>
    <x v="0"/>
    <x v="4"/>
    <s v="BANCOS"/>
    <x v="1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23T00:00:00"/>
    <d v="2012-06-23T00:00:00"/>
    <d v="2012-06-23T00:00:00"/>
    <d v="2012-05-26T00:00:00"/>
    <x v="1"/>
    <s v="ANA DE ANDA PEREZ"/>
    <m/>
    <m/>
    <m/>
    <m/>
    <m/>
    <m/>
    <m/>
    <m/>
    <m/>
    <s v="SEM 21"/>
    <s v="MAY"/>
    <n v="12000"/>
    <x v="3"/>
    <x v="0"/>
    <x v="3"/>
    <s v="ALIA2"/>
    <x v="2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17T00:00:00"/>
    <d v="2012-06-17T00:00:00"/>
    <d v="2012-06-17T00:00:00"/>
    <d v="2012-06-01T00:00:00"/>
    <x v="1"/>
    <s v="ROSA ORTIZ ROSAS"/>
    <m/>
    <m/>
    <m/>
    <m/>
    <m/>
    <m/>
    <m/>
    <m/>
    <m/>
    <s v="SEM 22"/>
    <s v="JUN"/>
    <n v="32000"/>
    <x v="4"/>
    <x v="6"/>
    <x v="4"/>
    <s v="ALIA2"/>
    <x v="2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12T00:00:00"/>
    <d v="2012-06-12T00:00:00"/>
    <d v="2012-06-12T00:00:00"/>
    <d v="2012-06-07T00:00:00"/>
    <x v="3"/>
    <s v="IVONNE BECERRA WIBON"/>
    <m/>
    <m/>
    <m/>
    <m/>
    <m/>
    <m/>
    <m/>
    <m/>
    <m/>
    <s v="SEM 23"/>
    <s v="JUN"/>
    <n v="7000"/>
    <x v="3"/>
    <x v="1"/>
    <x v="4"/>
    <s v="ALIA2"/>
    <x v="3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28T00:00:00"/>
    <d v="2012-07-28T00:00:00"/>
    <d v="2012-07-28T00:00:00"/>
    <d v="2012-06-13T00:00:00"/>
    <x v="2"/>
    <s v="JOSE DEL TORO CARTER"/>
    <m/>
    <m/>
    <m/>
    <m/>
    <m/>
    <m/>
    <m/>
    <m/>
    <m/>
    <s v="SEM 24"/>
    <s v="JUN"/>
    <n v="8000"/>
    <x v="3"/>
    <x v="3"/>
    <x v="2"/>
    <s v="ALIA2"/>
    <x v="5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23T00:00:00"/>
    <d v="2012-07-23T00:00:00"/>
    <d v="2012-07-23T00:00:00"/>
    <d v="2012-06-20T00:00:00"/>
    <x v="6"/>
    <s v="JAVIER SANCHEZ DEL TORO"/>
    <m/>
    <m/>
    <m/>
    <m/>
    <m/>
    <m/>
    <m/>
    <m/>
    <m/>
    <s v="SEM 25"/>
    <s v="JUN"/>
    <n v="15000"/>
    <x v="2"/>
    <x v="7"/>
    <x v="2"/>
    <s v="ALIA2"/>
    <x v="5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1"/>
    <x v="1"/>
    <x v="1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18T00:00:00"/>
    <d v="2012-07-18T00:00:00"/>
    <d v="2012-07-18T00:00:00"/>
    <d v="2012-06-20T00:00:00"/>
    <x v="6"/>
    <s v="LUIS CORTES ARAGON"/>
    <m/>
    <m/>
    <m/>
    <m/>
    <m/>
    <m/>
    <m/>
    <m/>
    <m/>
    <s v="SEM 25"/>
    <s v="JUN"/>
    <n v="21000"/>
    <x v="1"/>
    <x v="5"/>
    <x v="2"/>
    <s v="OTROS"/>
    <x v="5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2"/>
    <x v="2"/>
    <x v="2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13T00:00:00"/>
    <d v="2012-07-13T00:00:00"/>
    <d v="2012-07-13T00:00:00"/>
    <d v="2012-06-20T00:00:00"/>
    <x v="6"/>
    <s v="JUAN RAZO DIAZ"/>
    <m/>
    <m/>
    <m/>
    <m/>
    <m/>
    <m/>
    <m/>
    <m/>
    <m/>
    <s v="SEM 25"/>
    <s v="JUN"/>
    <n v="44000"/>
    <x v="5"/>
    <x v="5"/>
    <x v="2"/>
    <s v="OTROS"/>
    <x v="0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07T00:00:00"/>
    <d v="2012-07-07T00:00:00"/>
    <d v="2012-07-07T00:00:00"/>
    <d v="2012-06-20T00:00:00"/>
    <x v="6"/>
    <s v="JUAN SANCHEZ ALDANA"/>
    <m/>
    <m/>
    <m/>
    <m/>
    <m/>
    <m/>
    <m/>
    <m/>
    <m/>
    <s v="SEM 25"/>
    <s v="JUN"/>
    <n v="17000"/>
    <x v="2"/>
    <x v="5"/>
    <x v="2"/>
    <s v="IPEJAL"/>
    <x v="0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4"/>
    <x v="4"/>
    <x v="4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03T00:00:00"/>
    <d v="2012-07-03T00:00:00"/>
    <d v="2012-07-03T00:00:00"/>
    <d v="2012-06-25T00:00:00"/>
    <x v="6"/>
    <s v="RODRIGO MEDINA ALCAR"/>
    <m/>
    <m/>
    <m/>
    <m/>
    <m/>
    <m/>
    <m/>
    <m/>
    <m/>
    <s v="SEM 26"/>
    <s v="JUN"/>
    <n v="23000"/>
    <x v="1"/>
    <x v="5"/>
    <x v="2"/>
    <s v="INFONAVIT"/>
    <x v="0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5"/>
    <x v="5"/>
    <x v="5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02T00:00:00"/>
    <d v="2012-07-02T00:00:00"/>
    <d v="2012-07-02T00:00:00"/>
    <d v="2012-06-25T00:00:00"/>
    <x v="6"/>
    <s v="ROSA DIEZ NUÑO"/>
    <m/>
    <m/>
    <m/>
    <m/>
    <m/>
    <m/>
    <m/>
    <m/>
    <m/>
    <s v="SEM 26"/>
    <s v="JUN"/>
    <n v="12000"/>
    <x v="3"/>
    <x v="4"/>
    <x v="2"/>
    <s v="INFONAVIT"/>
    <x v="0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6"/>
    <x v="6"/>
    <x v="6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28T00:00:00"/>
    <d v="2012-06-28T00:00:00"/>
    <d v="2012-06-28T00:00:00"/>
    <d v="2012-06-25T00:00:00"/>
    <x v="6"/>
    <s v="GERARDO MEZA SOLIS"/>
    <m/>
    <m/>
    <m/>
    <m/>
    <m/>
    <m/>
    <m/>
    <m/>
    <m/>
    <s v="SEM 26"/>
    <s v="JUN"/>
    <n v="12000"/>
    <x v="3"/>
    <x v="4"/>
    <x v="2"/>
    <s v="COFINAVIT"/>
    <x v="3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23T00:00:00"/>
    <d v="2012-06-23T00:00:00"/>
    <d v="2012-06-23T00:00:00"/>
    <d v="2012-06-25T00:00:00"/>
    <x v="6"/>
    <s v="BRENDA ARAGON PEZ"/>
    <m/>
    <m/>
    <m/>
    <m/>
    <m/>
    <m/>
    <m/>
    <m/>
    <m/>
    <s v="SEM 26"/>
    <s v="JUN"/>
    <n v="8500"/>
    <x v="3"/>
    <x v="1"/>
    <x v="3"/>
    <s v="COFINAVIT"/>
    <x v="3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17T00:00:00"/>
    <d v="2012-06-17T00:00:00"/>
    <d v="2012-06-17T00:00:00"/>
    <d v="2012-06-25T00:00:00"/>
    <x v="6"/>
    <s v="ALEJANDRA ORTIZ SOLA"/>
    <m/>
    <m/>
    <m/>
    <m/>
    <m/>
    <m/>
    <m/>
    <m/>
    <m/>
    <s v="SEM 26"/>
    <s v="JUN"/>
    <n v="14500"/>
    <x v="2"/>
    <x v="1"/>
    <x v="3"/>
    <s v="COFINAVIT"/>
    <x v="3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12T00:00:00"/>
    <d v="2012-06-12T00:00:00"/>
    <d v="2012-06-12T00:00:00"/>
    <d v="2012-06-25T00:00:00"/>
    <x v="6"/>
    <s v="ANDREA CASTELLANOS ROCHA"/>
    <m/>
    <m/>
    <m/>
    <m/>
    <m/>
    <m/>
    <m/>
    <m/>
    <m/>
    <s v="SEM 26"/>
    <s v="JUN"/>
    <n v="17000"/>
    <x v="2"/>
    <x v="6"/>
    <x v="3"/>
    <s v="COFINAVIT"/>
    <x v="1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28T00:00:00"/>
    <d v="2012-07-28T00:00:00"/>
    <d v="2012-07-28T00:00:00"/>
    <d v="2012-07-02T00:00:00"/>
    <x v="4"/>
    <s v="ALBERTO SUCAR MIGUEL"/>
    <m/>
    <m/>
    <m/>
    <m/>
    <m/>
    <m/>
    <m/>
    <m/>
    <m/>
    <s v="SEM 27"/>
    <s v="JUL"/>
    <n v="24000"/>
    <x v="1"/>
    <x v="6"/>
    <x v="5"/>
    <s v="COFINAVIT"/>
    <x v="1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23T00:00:00"/>
    <d v="2012-07-23T00:00:00"/>
    <d v="2012-07-23T00:00:00"/>
    <d v="2012-07-02T00:00:00"/>
    <x v="4"/>
    <s v="JAVIER SANCHEZ GONZALEZ"/>
    <m/>
    <m/>
    <m/>
    <m/>
    <m/>
    <m/>
    <m/>
    <m/>
    <m/>
    <s v="SEM 27"/>
    <s v="JUL"/>
    <n v="80000"/>
    <x v="6"/>
    <x v="4"/>
    <x v="5"/>
    <s v="INFONAVIT"/>
    <x v="2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1"/>
    <x v="1"/>
    <x v="1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18T00:00:00"/>
    <d v="2012-07-18T00:00:00"/>
    <d v="2012-07-18T00:00:00"/>
    <d v="2012-07-02T00:00:00"/>
    <x v="4"/>
    <s v="ROSA ROSAS SANCHEZ"/>
    <m/>
    <m/>
    <m/>
    <m/>
    <m/>
    <m/>
    <m/>
    <m/>
    <m/>
    <s v="SEM 27"/>
    <s v="JUL"/>
    <n v="24000"/>
    <x v="1"/>
    <x v="5"/>
    <x v="2"/>
    <s v="COFINAVIT"/>
    <x v="2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2"/>
    <x v="2"/>
    <x v="2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13T00:00:00"/>
    <d v="2012-07-13T00:00:00"/>
    <d v="2012-07-13T00:00:00"/>
    <d v="2012-07-02T00:00:00"/>
    <x v="4"/>
    <s v="GABRIELA ELIZONDO VELASCO"/>
    <m/>
    <m/>
    <m/>
    <m/>
    <m/>
    <m/>
    <m/>
    <m/>
    <m/>
    <s v="SEM 27"/>
    <s v="JUL"/>
    <n v="44000"/>
    <x v="5"/>
    <x v="0"/>
    <x v="3"/>
    <s v="ALIA2"/>
    <x v="3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07T00:00:00"/>
    <d v="2012-07-07T00:00:00"/>
    <d v="2012-07-07T00:00:00"/>
    <d v="2012-07-05T00:00:00"/>
    <x v="7"/>
    <s v="JAVIER GARCIA ARIAS"/>
    <m/>
    <m/>
    <m/>
    <m/>
    <m/>
    <m/>
    <m/>
    <m/>
    <m/>
    <s v="SEM 27"/>
    <s v="JUL"/>
    <n v="17000"/>
    <x v="2"/>
    <x v="0"/>
    <x v="4"/>
    <s v="BANCOS"/>
    <x v="5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4"/>
    <x v="4"/>
    <x v="4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03T00:00:00"/>
    <d v="2012-07-03T00:00:00"/>
    <d v="2012-07-03T00:00:00"/>
    <d v="2012-07-05T00:00:00"/>
    <x v="7"/>
    <s v="ALBERTO LEDEZMA OLEA"/>
    <m/>
    <m/>
    <m/>
    <m/>
    <m/>
    <m/>
    <m/>
    <m/>
    <m/>
    <s v="SEM 27"/>
    <s v="JUL"/>
    <n v="23000"/>
    <x v="1"/>
    <x v="0"/>
    <x v="3"/>
    <s v="BANCOS"/>
    <x v="5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5"/>
    <x v="5"/>
    <x v="5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02T00:00:00"/>
    <d v="2012-07-02T00:00:00"/>
    <d v="2012-07-02T00:00:00"/>
    <d v="2012-07-05T00:00:00"/>
    <x v="7"/>
    <s v="ESTEFANIA ENRIQUEZ SANCHEZ"/>
    <m/>
    <m/>
    <m/>
    <m/>
    <m/>
    <m/>
    <m/>
    <m/>
    <m/>
    <s v="SEM 27"/>
    <s v="JUL"/>
    <n v="12000"/>
    <x v="3"/>
    <x v="0"/>
    <x v="4"/>
    <s v="BANCOS"/>
    <x v="5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6"/>
    <x v="6"/>
    <x v="6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28T00:00:00"/>
    <d v="2012-06-28T00:00:00"/>
    <d v="2012-06-28T00:00:00"/>
    <d v="2012-07-05T00:00:00"/>
    <x v="7"/>
    <s v="ANA DE ANDA PEREZ"/>
    <m/>
    <m/>
    <m/>
    <m/>
    <m/>
    <m/>
    <m/>
    <m/>
    <m/>
    <s v="SEM 27"/>
    <s v="JUL"/>
    <n v="12000"/>
    <x v="3"/>
    <x v="0"/>
    <x v="3"/>
    <s v="ALIA2"/>
    <x v="0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23T00:00:00"/>
    <d v="2012-06-23T00:00:00"/>
    <d v="2012-06-23T00:00:00"/>
    <d v="2012-07-05T00:00:00"/>
    <x v="7"/>
    <s v="ROSA ORTIZ ROSAS"/>
    <m/>
    <m/>
    <m/>
    <m/>
    <m/>
    <m/>
    <m/>
    <m/>
    <m/>
    <s v="SEM 27"/>
    <s v="JUL"/>
    <n v="8500"/>
    <x v="3"/>
    <x v="6"/>
    <x v="4"/>
    <s v="ALIA2"/>
    <x v="0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17T00:00:00"/>
    <d v="2012-06-17T00:00:00"/>
    <d v="2012-06-17T00:00:00"/>
    <d v="2012-07-05T00:00:00"/>
    <x v="7"/>
    <s v="IVONNE BECERRA WIBON"/>
    <m/>
    <m/>
    <m/>
    <m/>
    <m/>
    <m/>
    <m/>
    <m/>
    <m/>
    <s v="SEM 27"/>
    <s v="JUL"/>
    <n v="14500"/>
    <x v="2"/>
    <x v="1"/>
    <x v="4"/>
    <s v="ALIA2"/>
    <x v="0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12T00:00:00"/>
    <d v="2012-06-12T00:00:00"/>
    <d v="2012-06-12T00:00:00"/>
    <d v="2012-07-05T00:00:00"/>
    <x v="7"/>
    <s v="JOSE DEL TORO CARTER"/>
    <m/>
    <m/>
    <m/>
    <m/>
    <m/>
    <m/>
    <m/>
    <m/>
    <m/>
    <s v="SEM 27"/>
    <s v="JUL"/>
    <n v="17000"/>
    <x v="2"/>
    <x v="3"/>
    <x v="2"/>
    <s v="ALIA2"/>
    <x v="0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28T00:00:00"/>
    <d v="2012-07-28T00:00:00"/>
    <d v="2012-07-28T00:00:00"/>
    <d v="2012-07-12T00:00:00"/>
    <x v="5"/>
    <s v="JAVIER SANCHEZ DEL TORO"/>
    <m/>
    <m/>
    <m/>
    <m/>
    <m/>
    <m/>
    <m/>
    <m/>
    <m/>
    <s v="SEM 28"/>
    <s v="JUL"/>
    <n v="24000"/>
    <x v="1"/>
    <x v="7"/>
    <x v="2"/>
    <s v="ALIA2"/>
    <x v="3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23T00:00:00"/>
    <d v="2012-07-23T00:00:00"/>
    <d v="2012-07-23T00:00:00"/>
    <d v="2012-07-12T00:00:00"/>
    <x v="5"/>
    <s v="LUIS CORTES ARAGON"/>
    <m/>
    <m/>
    <m/>
    <m/>
    <m/>
    <m/>
    <m/>
    <m/>
    <m/>
    <s v="SEM 28"/>
    <s v="JUL"/>
    <n v="80000"/>
    <x v="6"/>
    <x v="5"/>
    <x v="2"/>
    <s v="OTROS"/>
    <x v="3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1"/>
    <x v="1"/>
    <x v="1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18T00:00:00"/>
    <d v="2012-07-18T00:00:00"/>
    <d v="2012-07-18T00:00:00"/>
    <d v="2012-07-12T00:00:00"/>
    <x v="5"/>
    <s v="JUAN RAZO DIAZ"/>
    <m/>
    <m/>
    <m/>
    <m/>
    <m/>
    <m/>
    <m/>
    <m/>
    <m/>
    <s v="SEM 28"/>
    <s v="JUL"/>
    <n v="24000"/>
    <x v="1"/>
    <x v="5"/>
    <x v="2"/>
    <s v="OTROS"/>
    <x v="3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2"/>
    <x v="2"/>
    <x v="2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13T00:00:00"/>
    <d v="2012-07-13T00:00:00"/>
    <d v="2012-07-13T00:00:00"/>
    <d v="2012-07-11T00:00:00"/>
    <x v="5"/>
    <s v="JUAN SANCHEZ ALDANA"/>
    <m/>
    <m/>
    <m/>
    <m/>
    <m/>
    <m/>
    <m/>
    <m/>
    <m/>
    <s v="SEM 28"/>
    <s v="JUL"/>
    <n v="12000"/>
    <x v="3"/>
    <x v="5"/>
    <x v="2"/>
    <s v="IPEJAL"/>
    <x v="1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3"/>
    <x v="3"/>
    <x v="3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07T00:00:00"/>
    <d v="2012-07-07T00:00:00"/>
    <d v="2012-07-07T00:00:00"/>
    <d v="2012-06-07T00:00:00"/>
    <x v="3"/>
    <s v="RODRIGO MEDINA ALCAR"/>
    <m/>
    <m/>
    <m/>
    <m/>
    <m/>
    <m/>
    <m/>
    <m/>
    <m/>
    <s v="SEM 23"/>
    <s v="JUN"/>
    <n v="12000"/>
    <x v="3"/>
    <x v="5"/>
    <x v="2"/>
    <s v="INFONAVIT"/>
    <x v="1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4"/>
    <x v="4"/>
    <x v="4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03T00:00:00"/>
    <d v="2012-07-03T00:00:00"/>
    <d v="2012-07-03T00:00:00"/>
    <d v="2012-06-07T00:00:00"/>
    <x v="3"/>
    <s v="ROSA DIEZ NUÑO"/>
    <m/>
    <m/>
    <m/>
    <m/>
    <m/>
    <m/>
    <m/>
    <m/>
    <m/>
    <s v="SEM 23"/>
    <s v="JUN"/>
    <n v="12000"/>
    <x v="3"/>
    <x v="4"/>
    <x v="2"/>
    <s v="INFONAVIT"/>
    <x v="2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5"/>
    <x v="5"/>
    <x v="5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02T00:00:00"/>
    <d v="2012-07-02T00:00:00"/>
    <d v="2012-07-02T00:00:00"/>
    <d v="2012-06-07T00:00:00"/>
    <x v="3"/>
    <s v="GERARDO MEZA SOLIS"/>
    <m/>
    <m/>
    <m/>
    <m/>
    <m/>
    <m/>
    <m/>
    <m/>
    <m/>
    <s v="SEM 23"/>
    <s v="JUN"/>
    <n v="12000"/>
    <x v="3"/>
    <x v="4"/>
    <x v="2"/>
    <s v="COFINAVIT"/>
    <x v="2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6"/>
    <x v="6"/>
    <x v="6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28T00:00:00"/>
    <d v="2012-06-28T00:00:00"/>
    <d v="2012-06-28T00:00:00"/>
    <d v="2012-07-01T00:00:00"/>
    <x v="4"/>
    <s v="BRENDA ARAGON PEZ"/>
    <m/>
    <m/>
    <m/>
    <m/>
    <m/>
    <m/>
    <m/>
    <m/>
    <m/>
    <s v="SEM 27"/>
    <s v="JUL"/>
    <n v="8500"/>
    <x v="3"/>
    <x v="1"/>
    <x v="3"/>
    <s v="COFINAVIT"/>
    <x v="3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7"/>
    <x v="7"/>
    <x v="7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23T00:00:00"/>
    <d v="2012-06-23T00:00:00"/>
    <d v="2012-06-23T00:00:00"/>
    <d v="2012-07-02T00:00:00"/>
    <x v="4"/>
    <s v="ALEJANDRA ORTIZ SOLA"/>
    <m/>
    <m/>
    <m/>
    <m/>
    <m/>
    <m/>
    <m/>
    <m/>
    <m/>
    <s v="SEM 27"/>
    <s v="JUL"/>
    <n v="14500"/>
    <x v="2"/>
    <x v="1"/>
    <x v="3"/>
    <s v="COFINAVIT"/>
    <x v="5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17T00:00:00"/>
    <d v="2012-06-17T00:00:00"/>
    <d v="2012-06-17T00:00:00"/>
    <d v="2012-07-05T00:00:00"/>
    <x v="7"/>
    <s v="ANDREA CASTELLANOS ROCHA"/>
    <m/>
    <m/>
    <m/>
    <m/>
    <m/>
    <m/>
    <m/>
    <m/>
    <m/>
    <s v="SEM 27"/>
    <s v="JUL"/>
    <n v="17000"/>
    <x v="2"/>
    <x v="6"/>
    <x v="3"/>
    <s v="COFINAVIT"/>
    <x v="0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8"/>
    <x v="8"/>
    <x v="8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6-12T00:00:00"/>
    <d v="2012-06-12T00:00:00"/>
    <d v="2012-06-12T00:00:00"/>
    <d v="2012-07-05T00:00:00"/>
    <x v="7"/>
    <s v="ALBERTO SUCAR MIGUEL"/>
    <m/>
    <m/>
    <m/>
    <m/>
    <m/>
    <m/>
    <m/>
    <m/>
    <m/>
    <s v="SEM 27"/>
    <s v="JUL"/>
    <n v="12000"/>
    <x v="3"/>
    <x v="6"/>
    <x v="5"/>
    <s v="COFINAVIT"/>
    <x v="5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9"/>
    <x v="9"/>
    <x v="9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m/>
    <x v="5"/>
    <m/>
    <m/>
    <m/>
    <x v="3"/>
    <m/>
    <m/>
    <m/>
    <m/>
    <m/>
    <x v="2"/>
    <m/>
    <m/>
    <m/>
    <m/>
    <m/>
    <m/>
    <m/>
    <x v="10"/>
    <m/>
    <d v="2012-07-28T00:00:00"/>
    <d v="2012-07-28T00:00:00"/>
    <d v="2012-07-28T00:00:00"/>
    <d v="2012-07-05T00:00:00"/>
    <x v="7"/>
    <s v="JAVIER SANCHEZ GONZALEZ"/>
    <m/>
    <m/>
    <m/>
    <m/>
    <m/>
    <m/>
    <m/>
    <m/>
    <m/>
    <s v="SEM 27"/>
    <s v="JUL"/>
    <n v="8500"/>
    <x v="3"/>
    <x v="4"/>
    <x v="5"/>
    <s v="INFONAVIT"/>
    <x v="3"/>
    <m/>
    <x v="9"/>
    <m/>
    <m/>
    <m/>
    <m/>
    <m/>
    <m/>
    <m/>
    <m/>
    <m/>
    <x v="3"/>
    <x v="2"/>
    <x v="2"/>
    <m/>
    <m/>
    <m/>
    <m/>
    <m/>
    <m/>
    <m/>
    <m/>
    <x v="7"/>
    <m/>
    <m/>
    <m/>
    <s v="NA"/>
    <s v=""/>
    <s v="NA"/>
    <s v=""/>
    <s v="NA"/>
    <s v=""/>
    <x v="8"/>
    <m/>
    <m/>
    <x v="0"/>
    <x v="0"/>
    <x v="0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 dinámica1" cacheId="34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B3:D13" firstHeaderRow="0" firstDataRow="1" firstDataCol="1"/>
  <pivotFields count="120">
    <pivotField dataField="1"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numFmtId="4" showAll="0"/>
    <pivotField showAll="0" defaultSubtotal="0"/>
    <pivotField axis="axisRow" showAll="0">
      <items count="4">
        <item m="1" x="2"/>
        <item x="1"/>
        <item x="0"/>
        <item t="default"/>
      </items>
    </pivotField>
    <pivotField axis="axisRow" showAll="0">
      <items count="7">
        <item m="1" x="3"/>
        <item m="1" x="5"/>
        <item m="1" x="4"/>
        <item x="0"/>
        <item x="1"/>
        <item x="2"/>
        <item t="default"/>
      </items>
    </pivotField>
    <pivotField dataField="1"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 defaultSubtotal="0"/>
    <pivotField showAll="0" defaultSubtotal="0"/>
    <pivotField showAll="0" defaultSubtotal="0"/>
    <pivotField numFmtId="44" showAll="0" defaultSubtotal="0"/>
    <pivotField numFmtId="44" showAll="0" defaultSubtotal="0"/>
    <pivotField numFmtId="44" showAll="0" defaultSubtotal="0"/>
    <pivotField numFmtId="44" showAll="0" defaultSubtotal="0"/>
    <pivotField showAll="0" defaultSubtotal="0"/>
    <pivotField numFmtId="9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9" showAll="0" defaultSubtotal="0"/>
    <pivotField numFmtId="44" showAll="0" defaultSubtotal="0"/>
    <pivotField numFmtId="44" showAll="0" defaultSubtotal="0"/>
    <pivotField numFmtId="4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12"/>
    <field x="11"/>
  </rowFields>
  <rowItems count="10">
    <i>
      <x v="3"/>
    </i>
    <i r="1">
      <x v="1"/>
    </i>
    <i r="1">
      <x v="2"/>
    </i>
    <i>
      <x v="4"/>
    </i>
    <i r="1">
      <x v="1"/>
    </i>
    <i r="1">
      <x v="2"/>
    </i>
    <i>
      <x v="5"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No." fld="0" subtotal="count" baseField="8" baseItem="1"/>
    <dataField name="Suma de PRECIO" fld="13" baseField="0" baseItem="0" numFmtId="165"/>
  </dataFields>
  <formats count="20">
    <format dxfId="2270">
      <pivotArea type="all" dataOnly="0" outline="0" fieldPosition="0"/>
    </format>
    <format dxfId="2269">
      <pivotArea type="all" dataOnly="0" outline="0" fieldPosition="0"/>
    </format>
    <format dxfId="2268">
      <pivotArea outline="0" collapsedLevelsAreSubtotals="1" fieldPosition="0"/>
    </format>
    <format dxfId="2267">
      <pivotArea dataOnly="0" labelOnly="1" fieldPosition="0">
        <references count="1">
          <reference field="12" count="0"/>
        </references>
      </pivotArea>
    </format>
    <format dxfId="2266">
      <pivotArea dataOnly="0" labelOnly="1" grandRow="1" outline="0" fieldPosition="0"/>
    </format>
    <format dxfId="2265">
      <pivotArea dataOnly="0" labelOnly="1" fieldPosition="0">
        <references count="2">
          <reference field="11" count="0"/>
          <reference field="12" count="1" selected="0">
            <x v="0"/>
          </reference>
        </references>
      </pivotArea>
    </format>
    <format dxfId="2264">
      <pivotArea dataOnly="0" fieldPosition="0">
        <references count="1">
          <reference field="12" count="0"/>
        </references>
      </pivotArea>
    </format>
    <format dxfId="2263">
      <pivotArea dataOnly="0" fieldPosition="0">
        <references count="1">
          <reference field="12" count="0"/>
        </references>
      </pivotArea>
    </format>
    <format dxfId="2262">
      <pivotArea grandRow="1" outline="0" collapsedLevelsAreSubtotals="1" fieldPosition="0"/>
    </format>
    <format dxfId="2261">
      <pivotArea dataOnly="0" labelOnly="1" grandRow="1" outline="0" fieldPosition="0"/>
    </format>
    <format dxfId="2260">
      <pivotArea grandRow="1" outline="0" collapsedLevelsAreSubtotals="1" fieldPosition="0"/>
    </format>
    <format dxfId="2259">
      <pivotArea dataOnly="0" labelOnly="1" grandRow="1" outline="0" fieldPosition="0"/>
    </format>
    <format dxfId="2258">
      <pivotArea dataOnly="0" labelOnly="1" fieldPosition="0">
        <references count="2">
          <reference field="11" count="0"/>
          <reference field="12" count="1" selected="0">
            <x v="0"/>
          </reference>
        </references>
      </pivotArea>
    </format>
    <format dxfId="2257">
      <pivotArea dataOnly="0" labelOnly="1" fieldPosition="0">
        <references count="2">
          <reference field="11" count="0"/>
          <reference field="12" count="1" selected="0">
            <x v="1"/>
          </reference>
        </references>
      </pivotArea>
    </format>
    <format dxfId="225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255">
      <pivotArea field="12" type="button" dataOnly="0" labelOnly="1" outline="0" axis="axisRow" fieldPosition="0"/>
    </format>
    <format dxfId="225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53">
      <pivotArea outline="0" collapsedLevelsAreSubtotals="1" fieldPosition="0"/>
    </format>
    <format dxfId="2252">
      <pivotArea dataOnly="0" labelOnly="1" fieldPosition="0">
        <references count="1">
          <reference field="12" count="0"/>
        </references>
      </pivotArea>
    </format>
    <format dxfId="225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34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C57:I74" firstHeaderRow="1" firstDataRow="2" firstDataCol="1" rowPageCount="2" colPageCount="1"/>
  <pivotFields count="120">
    <pivotField dataField="1" showAll="0"/>
    <pivotField showAll="0" defaultSubtota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 defaultSubtotal="0"/>
    <pivotField showAll="0" defaultSubtotal="0"/>
    <pivotField numFmtId="4" showAll="0"/>
    <pivotField showAll="0" defaultSubtotal="0"/>
    <pivotField axis="axisPage" showAll="0">
      <items count="4">
        <item m="1" x="2"/>
        <item x="1"/>
        <item x="0"/>
        <item t="default"/>
      </items>
    </pivotField>
    <pivotField axis="axisRow" showAll="0">
      <items count="7">
        <item m="1" x="3"/>
        <item m="1" x="5"/>
        <item m="1" x="4"/>
        <item x="2"/>
        <item x="1"/>
        <item x="0"/>
        <item t="default"/>
      </items>
    </pivotField>
    <pivotField numFmtId="44" showAll="0"/>
    <pivotField showAll="0"/>
    <pivotField numFmtId="14" showAll="0" defaultSubtotal="0"/>
    <pivotField axis="axisCol" showAll="0" defaultSubtotal="0">
      <items count="13">
        <item m="1" x="9"/>
        <item m="1" x="10"/>
        <item m="1" x="11"/>
        <item m="1" x="7"/>
        <item m="1" x="8"/>
        <item m="1" x="12"/>
        <item m="1" x="5"/>
        <item m="1" x="6"/>
        <item x="4"/>
        <item x="2"/>
        <item x="3"/>
        <item x="0"/>
        <item x="1"/>
      </items>
    </pivotField>
    <pivotField axis="axisRow" numFmtId="9" showAll="0" defaultSubtotal="0">
      <items count="11">
        <item x="1"/>
        <item x="0"/>
        <item x="2"/>
        <item x="9"/>
        <item x="10"/>
        <item x="8"/>
        <item x="7"/>
        <item x="6"/>
        <item x="4"/>
        <item x="5"/>
        <item x="3"/>
      </items>
    </pivotField>
    <pivotField showAll="0"/>
    <pivotField showAll="0" defaultSubtotal="0"/>
    <pivotField showAll="0" defaultSubtotal="0"/>
    <pivotField showAll="0" defaultSubtotal="0"/>
    <pivotField numFmtId="44" showAll="0" defaultSubtotal="0"/>
    <pivotField numFmtId="44" showAll="0" defaultSubtotal="0"/>
    <pivotField numFmtId="44" showAll="0" defaultSubtotal="0"/>
    <pivotField numFmtId="44" showAll="0" defaultSubtotal="0"/>
    <pivotField showAll="0" defaultSubtotal="0"/>
    <pivotField numFmtId="9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9" showAll="0" defaultSubtotal="0"/>
    <pivotField numFmtId="44" showAll="0" defaultSubtotal="0"/>
    <pivotField numFmtId="44" showAll="0" defaultSubtotal="0"/>
    <pivotField numFmtId="4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12"/>
    <field x="17"/>
  </rowFields>
  <rowItems count="16">
    <i>
      <x v="3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4"/>
    </i>
    <i r="1">
      <x v="1"/>
    </i>
    <i r="1">
      <x v="2"/>
    </i>
    <i>
      <x v="5"/>
    </i>
    <i r="1">
      <x/>
    </i>
    <i r="1">
      <x v="1"/>
    </i>
    <i t="grand">
      <x/>
    </i>
  </rowItems>
  <colFields count="1">
    <field x="16"/>
  </colFields>
  <colItems count="6">
    <i>
      <x v="8"/>
    </i>
    <i>
      <x v="9"/>
    </i>
    <i>
      <x v="10"/>
    </i>
    <i>
      <x v="11"/>
    </i>
    <i>
      <x v="12"/>
    </i>
    <i t="grand">
      <x/>
    </i>
  </colItems>
  <pageFields count="2">
    <pageField fld="11" hier="-1"/>
    <pageField fld="3" hier="-1"/>
  </pageFields>
  <dataFields count="1">
    <dataField name="Cuenta de No." fld="0" subtotal="count" baseField="8" baseItem="1"/>
  </dataFields>
  <formats count="50">
    <format dxfId="2250">
      <pivotArea type="all" dataOnly="0" outline="0" fieldPosition="0"/>
    </format>
    <format dxfId="2249">
      <pivotArea type="all" dataOnly="0" outline="0" fieldPosition="0"/>
    </format>
    <format dxfId="2248">
      <pivotArea outline="0" collapsedLevelsAreSubtotals="1" fieldPosition="0"/>
    </format>
    <format dxfId="2247">
      <pivotArea dataOnly="0" labelOnly="1" fieldPosition="0">
        <references count="1">
          <reference field="12" count="0"/>
        </references>
      </pivotArea>
    </format>
    <format dxfId="2246">
      <pivotArea dataOnly="0" labelOnly="1" grandRow="1" outline="0" fieldPosition="0"/>
    </format>
    <format dxfId="2245">
      <pivotArea dataOnly="0" labelOnly="1" fieldPosition="0">
        <references count="2">
          <reference field="11" count="0"/>
          <reference field="12" count="1" selected="0">
            <x v="0"/>
          </reference>
        </references>
      </pivotArea>
    </format>
    <format dxfId="2244">
      <pivotArea dataOnly="0" fieldPosition="0">
        <references count="1">
          <reference field="12" count="0"/>
        </references>
      </pivotArea>
    </format>
    <format dxfId="2243">
      <pivotArea dataOnly="0" fieldPosition="0">
        <references count="1">
          <reference field="12" count="0"/>
        </references>
      </pivotArea>
    </format>
    <format dxfId="2242">
      <pivotArea grandRow="1" outline="0" collapsedLevelsAreSubtotals="1" fieldPosition="0"/>
    </format>
    <format dxfId="2241">
      <pivotArea dataOnly="0" labelOnly="1" grandRow="1" outline="0" fieldPosition="0"/>
    </format>
    <format dxfId="2240">
      <pivotArea grandRow="1" outline="0" collapsedLevelsAreSubtotals="1" fieldPosition="0"/>
    </format>
    <format dxfId="2239">
      <pivotArea dataOnly="0" labelOnly="1" grandRow="1" outline="0" fieldPosition="0"/>
    </format>
    <format dxfId="2238">
      <pivotArea dataOnly="0" labelOnly="1" fieldPosition="0">
        <references count="2">
          <reference field="11" count="0"/>
          <reference field="12" count="1" selected="0">
            <x v="0"/>
          </reference>
        </references>
      </pivotArea>
    </format>
    <format dxfId="2237">
      <pivotArea dataOnly="0" labelOnly="1" fieldPosition="0">
        <references count="2">
          <reference field="11" count="0"/>
          <reference field="12" count="1" selected="0">
            <x v="1"/>
          </reference>
        </references>
      </pivotArea>
    </format>
    <format dxfId="2236">
      <pivotArea field="12" type="button" dataOnly="0" labelOnly="1" outline="0" axis="axisRow" fieldPosition="0"/>
    </format>
    <format dxfId="223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34">
      <pivotArea dataOnly="0" labelOnly="1" fieldPosition="0">
        <references count="1">
          <reference field="16" count="0"/>
        </references>
      </pivotArea>
    </format>
    <format dxfId="2233">
      <pivotArea dataOnly="0" labelOnly="1" grandCol="1" outline="0" fieldPosition="0"/>
    </format>
    <format dxfId="2232">
      <pivotArea dataOnly="0" labelOnly="1" fieldPosition="0">
        <references count="1">
          <reference field="16" count="0"/>
        </references>
      </pivotArea>
    </format>
    <format dxfId="2231">
      <pivotArea dataOnly="0" labelOnly="1" grandCol="1" outline="0" fieldPosition="0"/>
    </format>
    <format dxfId="2230">
      <pivotArea dataOnly="0" labelOnly="1" fieldPosition="0">
        <references count="1">
          <reference field="16" count="0"/>
        </references>
      </pivotArea>
    </format>
    <format dxfId="2229">
      <pivotArea dataOnly="0" labelOnly="1" grandCol="1" outline="0" fieldPosition="0"/>
    </format>
    <format dxfId="2228">
      <pivotArea dataOnly="0" labelOnly="1" fieldPosition="0">
        <references count="1">
          <reference field="16" count="0"/>
        </references>
      </pivotArea>
    </format>
    <format dxfId="2227">
      <pivotArea dataOnly="0" labelOnly="1" grandCol="1" outline="0" fieldPosition="0"/>
    </format>
    <format dxfId="2226">
      <pivotArea dataOnly="0" fieldPosition="0">
        <references count="1">
          <reference field="3" count="0"/>
        </references>
      </pivotArea>
    </format>
    <format dxfId="2225">
      <pivotArea collapsedLevelsAreSubtotals="1" fieldPosition="0">
        <references count="2">
          <reference field="3" count="1">
            <x v="0"/>
          </reference>
          <reference field="12" count="1" selected="0">
            <x v="0"/>
          </reference>
        </references>
      </pivotArea>
    </format>
    <format dxfId="2224">
      <pivotArea collapsedLevelsAreSubtotals="1" fieldPosition="0">
        <references count="3">
          <reference field="3" count="1" selected="0">
            <x v="0"/>
          </reference>
          <reference field="12" count="1" selected="0">
            <x v="0"/>
          </reference>
          <reference field="17" count="3">
            <x v="8"/>
            <x v="9"/>
            <x v="10"/>
          </reference>
        </references>
      </pivotArea>
    </format>
    <format dxfId="2223">
      <pivotArea collapsedLevelsAreSubtotals="1" fieldPosition="0">
        <references count="2">
          <reference field="3" count="1">
            <x v="1"/>
          </reference>
          <reference field="12" count="1" selected="0">
            <x v="0"/>
          </reference>
        </references>
      </pivotArea>
    </format>
    <format dxfId="2222">
      <pivotArea collapsedLevelsAreSubtotals="1" fieldPosition="0">
        <references count="3">
          <reference field="3" count="1" selected="0">
            <x v="1"/>
          </reference>
          <reference field="12" count="1" selected="0">
            <x v="0"/>
          </reference>
          <reference field="17" count="7">
            <x v="3"/>
            <x v="4"/>
            <x v="5"/>
            <x v="6"/>
            <x v="7"/>
            <x v="8"/>
            <x v="9"/>
          </reference>
        </references>
      </pivotArea>
    </format>
    <format dxfId="2221">
      <pivotArea collapsedLevelsAreSubtotals="1" fieldPosition="0">
        <references count="1">
          <reference field="12" count="1">
            <x v="1"/>
          </reference>
        </references>
      </pivotArea>
    </format>
    <format dxfId="2220">
      <pivotArea collapsedLevelsAreSubtotals="1" fieldPosition="0">
        <references count="2">
          <reference field="3" count="1">
            <x v="0"/>
          </reference>
          <reference field="12" count="1" selected="0">
            <x v="1"/>
          </reference>
        </references>
      </pivotArea>
    </format>
    <format dxfId="2219">
      <pivotArea collapsedLevelsAreSubtotals="1" fieldPosition="0">
        <references count="3">
          <reference field="3" count="1" selected="0">
            <x v="0"/>
          </reference>
          <reference field="12" count="1" selected="0">
            <x v="1"/>
          </reference>
          <reference field="17" count="2">
            <x v="1"/>
            <x v="2"/>
          </reference>
        </references>
      </pivotArea>
    </format>
    <format dxfId="2218">
      <pivotArea collapsedLevelsAreSubtotals="1" fieldPosition="0">
        <references count="2">
          <reference field="3" count="1">
            <x v="2"/>
          </reference>
          <reference field="12" count="1" selected="0">
            <x v="1"/>
          </reference>
        </references>
      </pivotArea>
    </format>
    <format dxfId="2217">
      <pivotArea collapsedLevelsAreSubtotals="1" fieldPosition="0">
        <references count="3">
          <reference field="3" count="1" selected="0">
            <x v="2"/>
          </reference>
          <reference field="12" count="1" selected="0">
            <x v="1"/>
          </reference>
          <reference field="17" count="1">
            <x v="1"/>
          </reference>
        </references>
      </pivotArea>
    </format>
    <format dxfId="2216">
      <pivotArea collapsedLevelsAreSubtotals="1" fieldPosition="0">
        <references count="1">
          <reference field="12" count="1">
            <x v="2"/>
          </reference>
        </references>
      </pivotArea>
    </format>
    <format dxfId="2215">
      <pivotArea collapsedLevelsAreSubtotals="1" fieldPosition="0">
        <references count="2">
          <reference field="3" count="1">
            <x v="0"/>
          </reference>
          <reference field="12" count="1" selected="0">
            <x v="2"/>
          </reference>
        </references>
      </pivotArea>
    </format>
    <format dxfId="2214">
      <pivotArea collapsedLevelsAreSubtotals="1" fieldPosition="0">
        <references count="3">
          <reference field="3" count="1" selected="0">
            <x v="0"/>
          </reference>
          <reference field="12" count="1" selected="0">
            <x v="2"/>
          </reference>
          <reference field="17" count="2">
            <x v="0"/>
            <x v="1"/>
          </reference>
        </references>
      </pivotArea>
    </format>
    <format dxfId="2213">
      <pivotArea collapsedLevelsAreSubtotals="1" fieldPosition="0">
        <references count="2">
          <reference field="3" count="1">
            <x v="3"/>
          </reference>
          <reference field="12" count="1" selected="0">
            <x v="2"/>
          </reference>
        </references>
      </pivotArea>
    </format>
    <format dxfId="2212">
      <pivotArea collapsedLevelsAreSubtotals="1" fieldPosition="0">
        <references count="3">
          <reference field="3" count="1" selected="0">
            <x v="3"/>
          </reference>
          <reference field="12" count="1" selected="0">
            <x v="2"/>
          </reference>
          <reference field="17" count="1">
            <x v="0"/>
          </reference>
        </references>
      </pivotArea>
    </format>
    <format dxfId="2211">
      <pivotArea collapsedLevelsAreSubtotals="1" fieldPosition="0">
        <references count="2">
          <reference field="3" count="1">
            <x v="4"/>
          </reference>
          <reference field="12" count="1" selected="0">
            <x v="2"/>
          </reference>
        </references>
      </pivotArea>
    </format>
    <format dxfId="2210">
      <pivotArea collapsedLevelsAreSubtotals="1" fieldPosition="0">
        <references count="3">
          <reference field="3" count="1" selected="0">
            <x v="4"/>
          </reference>
          <reference field="12" count="1" selected="0">
            <x v="2"/>
          </reference>
          <reference field="17" count="1">
            <x v="0"/>
          </reference>
        </references>
      </pivotArea>
    </format>
    <format dxfId="2209">
      <pivotArea grandRow="1" outline="0" collapsedLevelsAreSubtotals="1" fieldPosition="0"/>
    </format>
    <format dxfId="2208">
      <pivotArea dataOnly="0" labelOnly="1" fieldPosition="0">
        <references count="2">
          <reference field="3" count="0"/>
          <reference field="12" count="1" selected="0">
            <x v="0"/>
          </reference>
        </references>
      </pivotArea>
    </format>
    <format dxfId="2207">
      <pivotArea dataOnly="0" labelOnly="1" fieldPosition="0">
        <references count="3">
          <reference field="3" count="1" selected="0">
            <x v="0"/>
          </reference>
          <reference field="12" count="1" selected="0">
            <x v="0"/>
          </reference>
          <reference field="17" count="0"/>
        </references>
      </pivotArea>
    </format>
    <format dxfId="2206">
      <pivotArea outline="0" collapsedLevelsAreSubtotals="1" fieldPosition="0"/>
    </format>
    <format dxfId="2205">
      <pivotArea dataOnly="0" labelOnly="1" fieldPosition="0">
        <references count="1">
          <reference field="12" count="0"/>
        </references>
      </pivotArea>
    </format>
    <format dxfId="2204">
      <pivotArea dataOnly="0" labelOnly="1" grandRow="1" outline="0" fieldPosition="0"/>
    </format>
    <format dxfId="2203">
      <pivotArea dataOnly="0" labelOnly="1" fieldPosition="0">
        <references count="2">
          <reference field="3" count="0"/>
          <reference field="12" count="1" selected="0">
            <x v="5"/>
          </reference>
        </references>
      </pivotArea>
    </format>
    <format dxfId="2202">
      <pivotArea dataOnly="0" labelOnly="1" fieldPosition="0">
        <references count="3">
          <reference field="3" count="1" selected="0">
            <x v="0"/>
          </reference>
          <reference field="12" count="1" selected="0">
            <x v="5"/>
          </reference>
          <reference field="17" count="0"/>
        </references>
      </pivotArea>
    </format>
    <format dxfId="220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2" cacheId="34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C6:M14" firstHeaderRow="1" firstDataRow="3" firstDataCol="1"/>
  <pivotFields count="120">
    <pivotField dataField="1"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axis="axisRow" showAll="0" defaultSubtotal="0">
      <items count="5">
        <item x="4"/>
        <item x="3"/>
        <item x="2"/>
        <item x="1"/>
        <item x="0"/>
      </items>
    </pivotField>
    <pivotField numFmtId="4" showAll="0"/>
    <pivotField showAll="0" defaultSubtotal="0"/>
    <pivotField axis="axisCol" showAll="0">
      <items count="4">
        <item m="1" x="2"/>
        <item x="1"/>
        <item x="0"/>
        <item t="default"/>
      </items>
    </pivotField>
    <pivotField axis="axisCol" showAll="0">
      <items count="7">
        <item m="1" x="3"/>
        <item m="1" x="5"/>
        <item m="1" x="4"/>
        <item x="2"/>
        <item x="1"/>
        <item x="0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 defaultSubtotal="0"/>
    <pivotField showAll="0" defaultSubtotal="0"/>
    <pivotField showAll="0" defaultSubtotal="0"/>
    <pivotField numFmtId="44" showAll="0" defaultSubtotal="0"/>
    <pivotField numFmtId="44" showAll="0" defaultSubtotal="0"/>
    <pivotField numFmtId="44" showAll="0" defaultSubtotal="0"/>
    <pivotField numFmtId="44" showAll="0" defaultSubtotal="0"/>
    <pivotField showAll="0" defaultSubtotal="0"/>
    <pivotField numFmtId="9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9" showAll="0" defaultSubtotal="0"/>
    <pivotField numFmtId="44" showAll="0" defaultSubtotal="0"/>
    <pivotField numFmtId="44" showAll="0" defaultSubtotal="0"/>
    <pivotField numFmtId="4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12"/>
    <field x="11"/>
  </colFields>
  <colItems count="10">
    <i>
      <x v="3"/>
      <x v="1"/>
    </i>
    <i r="1">
      <x v="2"/>
    </i>
    <i t="default">
      <x v="3"/>
    </i>
    <i>
      <x v="4"/>
      <x v="1"/>
    </i>
    <i r="1">
      <x v="2"/>
    </i>
    <i t="default">
      <x v="4"/>
    </i>
    <i>
      <x v="5"/>
      <x v="1"/>
    </i>
    <i r="1">
      <x v="2"/>
    </i>
    <i t="default">
      <x v="5"/>
    </i>
    <i t="grand">
      <x/>
    </i>
  </colItems>
  <dataFields count="1">
    <dataField name="Cuenta de No." fld="0" subtotal="count" baseField="8" baseItem="1"/>
  </dataFields>
  <formats count="75">
    <format dxfId="2200">
      <pivotArea type="all" dataOnly="0" outline="0" fieldPosition="0"/>
    </format>
    <format dxfId="2199">
      <pivotArea type="all" dataOnly="0" outline="0" fieldPosition="0"/>
    </format>
    <format dxfId="2198">
      <pivotArea outline="0" collapsedLevelsAreSubtotals="1" fieldPosition="0"/>
    </format>
    <format dxfId="2197">
      <pivotArea dataOnly="0" labelOnly="1" fieldPosition="0">
        <references count="1">
          <reference field="12" count="0"/>
        </references>
      </pivotArea>
    </format>
    <format dxfId="2196">
      <pivotArea dataOnly="0" labelOnly="1" grandRow="1" outline="0" fieldPosition="0"/>
    </format>
    <format dxfId="2195">
      <pivotArea dataOnly="0" labelOnly="1" fieldPosition="0">
        <references count="2">
          <reference field="11" count="0"/>
          <reference field="12" count="1" selected="0">
            <x v="0"/>
          </reference>
        </references>
      </pivotArea>
    </format>
    <format dxfId="2194">
      <pivotArea dataOnly="0" fieldPosition="0">
        <references count="1">
          <reference field="12" count="0"/>
        </references>
      </pivotArea>
    </format>
    <format dxfId="2193">
      <pivotArea dataOnly="0" fieldPosition="0">
        <references count="1">
          <reference field="12" count="0"/>
        </references>
      </pivotArea>
    </format>
    <format dxfId="2192">
      <pivotArea grandRow="1" outline="0" collapsedLevelsAreSubtotals="1" fieldPosition="0"/>
    </format>
    <format dxfId="2191">
      <pivotArea dataOnly="0" labelOnly="1" grandRow="1" outline="0" fieldPosition="0"/>
    </format>
    <format dxfId="2190">
      <pivotArea grandRow="1" outline="0" collapsedLevelsAreSubtotals="1" fieldPosition="0"/>
    </format>
    <format dxfId="2189">
      <pivotArea dataOnly="0" labelOnly="1" grandRow="1" outline="0" fieldPosition="0"/>
    </format>
    <format dxfId="2188">
      <pivotArea dataOnly="0" labelOnly="1" fieldPosition="0">
        <references count="2">
          <reference field="11" count="0"/>
          <reference field="12" count="1" selected="0">
            <x v="0"/>
          </reference>
        </references>
      </pivotArea>
    </format>
    <format dxfId="2187">
      <pivotArea dataOnly="0" labelOnly="1" fieldPosition="0">
        <references count="2">
          <reference field="11" count="0"/>
          <reference field="12" count="1" selected="0">
            <x v="1"/>
          </reference>
        </references>
      </pivotArea>
    </format>
    <format dxfId="2186">
      <pivotArea field="12" type="button" dataOnly="0" labelOnly="1" outline="0" axis="axisCol" fieldPosition="0"/>
    </format>
    <format dxfId="218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84">
      <pivotArea dataOnly="0" labelOnly="1" grandCol="1" outline="0" fieldPosition="0"/>
    </format>
    <format dxfId="2183">
      <pivotArea dataOnly="0" labelOnly="1" grandCol="1" outline="0" fieldPosition="0"/>
    </format>
    <format dxfId="2182">
      <pivotArea dataOnly="0" labelOnly="1" grandCol="1" outline="0" fieldPosition="0"/>
    </format>
    <format dxfId="2181">
      <pivotArea dataOnly="0" labelOnly="1" grandCol="1" outline="0" fieldPosition="0"/>
    </format>
    <format dxfId="2180">
      <pivotArea outline="0" collapsedLevelsAreSubtotals="1" fieldPosition="0"/>
    </format>
    <format dxfId="2179">
      <pivotArea dataOnly="0" labelOnly="1" fieldPosition="0">
        <references count="1">
          <reference field="12" count="0"/>
        </references>
      </pivotArea>
    </format>
    <format dxfId="2178">
      <pivotArea dataOnly="0" labelOnly="1" grandRow="1" outline="0" fieldPosition="0"/>
    </format>
    <format dxfId="2177">
      <pivotArea dataOnly="0" fieldPosition="0">
        <references count="1">
          <reference field="8" count="1">
            <x v="4"/>
          </reference>
        </references>
      </pivotArea>
    </format>
    <format dxfId="2176">
      <pivotArea dataOnly="0" fieldPosition="0">
        <references count="1">
          <reference field="8" count="1">
            <x v="3"/>
          </reference>
        </references>
      </pivotArea>
    </format>
    <format dxfId="2175">
      <pivotArea dataOnly="0" fieldPosition="0">
        <references count="1">
          <reference field="8" count="1">
            <x v="0"/>
          </reference>
        </references>
      </pivotArea>
    </format>
    <format dxfId="2174">
      <pivotArea dataOnly="0" fieldPosition="0">
        <references count="1">
          <reference field="8" count="1">
            <x v="0"/>
          </reference>
        </references>
      </pivotArea>
    </format>
    <format dxfId="2173">
      <pivotArea dataOnly="0" fieldPosition="0">
        <references count="1">
          <reference field="8" count="1">
            <x v="0"/>
          </reference>
        </references>
      </pivotArea>
    </format>
    <format dxfId="2172">
      <pivotArea dataOnly="0" fieldPosition="0">
        <references count="1">
          <reference field="8" count="1">
            <x v="0"/>
          </reference>
        </references>
      </pivotArea>
    </format>
    <format dxfId="2171">
      <pivotArea dataOnly="0" fieldPosition="0">
        <references count="1">
          <reference field="8" count="1">
            <x v="4"/>
          </reference>
        </references>
      </pivotArea>
    </format>
    <format dxfId="2170">
      <pivotArea dataOnly="0" fieldPosition="0">
        <references count="1">
          <reference field="8" count="1">
            <x v="4"/>
          </reference>
        </references>
      </pivotArea>
    </format>
    <format dxfId="2169">
      <pivotArea collapsedLevelsAreSubtotals="1" fieldPosition="0">
        <references count="2">
          <reference field="8" count="0"/>
          <reference field="12" count="1" selected="0">
            <x v="0"/>
          </reference>
        </references>
      </pivotArea>
    </format>
    <format dxfId="2168">
      <pivotArea collapsedLevelsAreSubtotals="1" fieldPosition="0">
        <references count="1">
          <reference field="12" count="1">
            <x v="1"/>
          </reference>
        </references>
      </pivotArea>
    </format>
    <format dxfId="2167">
      <pivotArea collapsedLevelsAreSubtotals="1" fieldPosition="0">
        <references count="2">
          <reference field="8" count="1">
            <x v="4"/>
          </reference>
          <reference field="12" count="1" selected="0">
            <x v="1"/>
          </reference>
        </references>
      </pivotArea>
    </format>
    <format dxfId="2166">
      <pivotArea collapsedLevelsAreSubtotals="1" fieldPosition="0">
        <references count="1">
          <reference field="12" count="1">
            <x v="2"/>
          </reference>
        </references>
      </pivotArea>
    </format>
    <format dxfId="2165">
      <pivotArea collapsedLevelsAreSubtotals="1" fieldPosition="0">
        <references count="2">
          <reference field="8" count="0"/>
          <reference field="12" count="1" selected="0">
            <x v="2"/>
          </reference>
        </references>
      </pivotArea>
    </format>
    <format dxfId="2164">
      <pivotArea grandRow="1" outline="0" collapsedLevelsAreSubtotals="1" fieldPosition="0"/>
    </format>
    <format dxfId="2163">
      <pivotArea collapsedLevelsAreSubtotals="1" fieldPosition="0">
        <references count="2">
          <reference field="8" count="0"/>
          <reference field="12" count="1" selected="0">
            <x v="0"/>
          </reference>
        </references>
      </pivotArea>
    </format>
    <format dxfId="2162">
      <pivotArea collapsedLevelsAreSubtotals="1" fieldPosition="0">
        <references count="1">
          <reference field="12" count="1">
            <x v="1"/>
          </reference>
        </references>
      </pivotArea>
    </format>
    <format dxfId="2161">
      <pivotArea collapsedLevelsAreSubtotals="1" fieldPosition="0">
        <references count="1">
          <reference field="12" count="1">
            <x v="2"/>
          </reference>
        </references>
      </pivotArea>
    </format>
    <format dxfId="2160">
      <pivotArea collapsedLevelsAreSubtotals="1" fieldPosition="0">
        <references count="2">
          <reference field="8" count="0"/>
          <reference field="12" count="1" selected="0">
            <x v="2"/>
          </reference>
        </references>
      </pivotArea>
    </format>
    <format dxfId="2159">
      <pivotArea grandRow="1" outline="0" collapsedLevelsAreSubtotals="1" fieldPosition="0"/>
    </format>
    <format dxfId="2158">
      <pivotArea dataOnly="0" fieldPosition="0">
        <references count="1">
          <reference field="12" count="2">
            <x v="1"/>
            <x v="2"/>
          </reference>
        </references>
      </pivotArea>
    </format>
    <format dxfId="2157">
      <pivotArea dataOnly="0" fieldPosition="0">
        <references count="1">
          <reference field="12" count="2">
            <x v="1"/>
            <x v="2"/>
          </reference>
        </references>
      </pivotArea>
    </format>
    <format dxfId="2156">
      <pivotArea dataOnly="0" grandRow="1" fieldPosition="0"/>
    </format>
    <format dxfId="2155">
      <pivotArea dataOnly="0" grandRow="1" fieldPosition="0"/>
    </format>
    <format dxfId="2154">
      <pivotArea dataOnly="0" labelOnly="1" fieldPosition="0">
        <references count="1">
          <reference field="11" count="0"/>
        </references>
      </pivotArea>
    </format>
    <format dxfId="2153">
      <pivotArea dataOnly="0" labelOnly="1" grandCol="1" outline="0" fieldPosition="0"/>
    </format>
    <format dxfId="2152">
      <pivotArea collapsedLevelsAreSubtotals="1" fieldPosition="0">
        <references count="3">
          <reference field="8" count="3">
            <x v="0"/>
            <x v="1"/>
            <x v="2"/>
          </reference>
          <reference field="11" count="0" selected="0"/>
          <reference field="12" count="1" selected="0">
            <x v="3"/>
          </reference>
        </references>
      </pivotArea>
    </format>
    <format dxfId="2151">
      <pivotArea collapsedLevelsAreSubtotals="1" fieldPosition="0">
        <references count="3">
          <reference field="8" count="3">
            <x v="0"/>
            <x v="1"/>
            <x v="2"/>
          </reference>
          <reference field="11" count="0" selected="0"/>
          <reference field="12" count="1" selected="0">
            <x v="4"/>
          </reference>
        </references>
      </pivotArea>
    </format>
    <format dxfId="2150">
      <pivotArea collapsedLevelsAreSubtotals="1" fieldPosition="0">
        <references count="3">
          <reference field="8" count="3">
            <x v="0"/>
            <x v="1"/>
            <x v="2"/>
          </reference>
          <reference field="11" count="0" selected="0"/>
          <reference field="12" count="1" selected="0">
            <x v="5"/>
          </reference>
        </references>
      </pivotArea>
    </format>
    <format dxfId="2149">
      <pivotArea collapsedLevelsAreSubtotals="1" fieldPosition="0">
        <references count="3">
          <reference field="8" count="3">
            <x v="0"/>
            <x v="1"/>
            <x v="2"/>
          </reference>
          <reference field="11" count="0" selected="0"/>
          <reference field="12" count="1" selected="0">
            <x v="3"/>
          </reference>
        </references>
      </pivotArea>
    </format>
    <format dxfId="2148">
      <pivotArea collapsedLevelsAreSubtotals="1" fieldPosition="0">
        <references count="3">
          <reference field="8" count="3">
            <x v="0"/>
            <x v="1"/>
            <x v="2"/>
          </reference>
          <reference field="11" count="0" selected="0"/>
          <reference field="12" count="1" selected="0">
            <x v="4"/>
          </reference>
        </references>
      </pivotArea>
    </format>
    <format dxfId="2147">
      <pivotArea collapsedLevelsAreSubtotals="1" fieldPosition="0">
        <references count="3">
          <reference field="8" count="3">
            <x v="0"/>
            <x v="1"/>
            <x v="2"/>
          </reference>
          <reference field="11" count="0" selected="0"/>
          <reference field="12" count="1" selected="0">
            <x v="5"/>
          </reference>
        </references>
      </pivotArea>
    </format>
    <format dxfId="2146">
      <pivotArea collapsedLevelsAreSubtotals="1" fieldPosition="0">
        <references count="1">
          <reference field="8" count="2">
            <x v="3"/>
            <x v="4"/>
          </reference>
        </references>
      </pivotArea>
    </format>
    <format dxfId="2145">
      <pivotArea dataOnly="0" outline="0" fieldPosition="0">
        <references count="1">
          <reference field="12" count="0" defaultSubtotal="1"/>
        </references>
      </pivotArea>
    </format>
    <format dxfId="2144">
      <pivotArea dataOnly="0" outline="0" fieldPosition="0">
        <references count="1">
          <reference field="12" count="0" defaultSubtotal="1"/>
        </references>
      </pivotArea>
    </format>
    <format dxfId="2143">
      <pivotArea dataOnly="0" labelOnly="1" fieldPosition="0">
        <references count="1">
          <reference field="12" count="1">
            <x v="3"/>
          </reference>
        </references>
      </pivotArea>
    </format>
    <format dxfId="2142">
      <pivotArea dataOnly="0" labelOnly="1" fieldPosition="0">
        <references count="1">
          <reference field="12" count="1">
            <x v="4"/>
          </reference>
        </references>
      </pivotArea>
    </format>
    <format dxfId="2141">
      <pivotArea dataOnly="0" labelOnly="1" fieldPosition="0">
        <references count="1">
          <reference field="12" count="1">
            <x v="5"/>
          </reference>
        </references>
      </pivotArea>
    </format>
    <format dxfId="2140">
      <pivotArea type="origin" dataOnly="0" labelOnly="1" outline="0" fieldPosition="0"/>
    </format>
    <format dxfId="2139">
      <pivotArea field="8" type="button" dataOnly="0" labelOnly="1" outline="0" axis="axisRow" fieldPosition="0"/>
    </format>
    <format dxfId="2138">
      <pivotArea dataOnly="0" labelOnly="1" fieldPosition="0">
        <references count="1">
          <reference field="8" count="0"/>
        </references>
      </pivotArea>
    </format>
    <format dxfId="2137">
      <pivotArea dataOnly="0" labelOnly="1" fieldPosition="0">
        <references count="1">
          <reference field="12" count="1">
            <x v="3"/>
          </reference>
        </references>
      </pivotArea>
    </format>
    <format dxfId="2136">
      <pivotArea dataOnly="0" labelOnly="1" offset="IV1" fieldPosition="0">
        <references count="1">
          <reference field="12" count="1" defaultSubtotal="1">
            <x v="3"/>
          </reference>
        </references>
      </pivotArea>
    </format>
    <format dxfId="2135">
      <pivotArea dataOnly="0" labelOnly="1" fieldPosition="0">
        <references count="1">
          <reference field="12" count="1">
            <x v="4"/>
          </reference>
        </references>
      </pivotArea>
    </format>
    <format dxfId="2134">
      <pivotArea dataOnly="0" labelOnly="1" offset="IV1" fieldPosition="0">
        <references count="1">
          <reference field="12" count="1" defaultSubtotal="1">
            <x v="4"/>
          </reference>
        </references>
      </pivotArea>
    </format>
    <format dxfId="2133">
      <pivotArea dataOnly="0" labelOnly="1" fieldPosition="0">
        <references count="1">
          <reference field="12" count="1">
            <x v="5"/>
          </reference>
        </references>
      </pivotArea>
    </format>
    <format dxfId="2132">
      <pivotArea dataOnly="0" labelOnly="1" offset="IV1" fieldPosition="0">
        <references count="1">
          <reference field="12" count="1" defaultSubtotal="1">
            <x v="5"/>
          </reference>
        </references>
      </pivotArea>
    </format>
    <format dxfId="2131">
      <pivotArea outline="0" collapsedLevelsAreSubtotals="1" fieldPosition="0">
        <references count="1">
          <reference field="12" count="1" selected="0" defaultSubtotal="1">
            <x v="5"/>
          </reference>
        </references>
      </pivotArea>
    </format>
    <format dxfId="2130">
      <pivotArea dataOnly="0" labelOnly="1" offset="IV256" fieldPosition="0">
        <references count="1">
          <reference field="12" count="1" defaultSubtotal="1">
            <x v="5"/>
          </reference>
        </references>
      </pivotArea>
    </format>
    <format dxfId="2129">
      <pivotArea outline="0" collapsedLevelsAreSubtotals="1" fieldPosition="0">
        <references count="1">
          <reference field="12" count="1" selected="0" defaultSubtotal="1">
            <x v="4"/>
          </reference>
        </references>
      </pivotArea>
    </format>
    <format dxfId="2128">
      <pivotArea dataOnly="0" labelOnly="1" offset="IV256" fieldPosition="0">
        <references count="1">
          <reference field="12" count="1" defaultSubtotal="1">
            <x v="4"/>
          </reference>
        </references>
      </pivotArea>
    </format>
    <format dxfId="2127">
      <pivotArea outline="0" collapsedLevelsAreSubtotals="1" fieldPosition="0">
        <references count="1">
          <reference field="12" count="1" selected="0" defaultSubtotal="1">
            <x v="3"/>
          </reference>
        </references>
      </pivotArea>
    </format>
    <format dxfId="2126">
      <pivotArea dataOnly="0" labelOnly="1" offset="IV256" fieldPosition="0">
        <references count="1">
          <reference field="12" count="1" defaultSubtotal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3" cacheId="54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C6:I16" firstHeaderRow="1" firstDataRow="2" firstDataCol="1" rowPageCount="1" colPageCount="1"/>
  <pivotFields count="120"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numFmtId="4" showAll="0"/>
    <pivotField showAll="0" defaultSubtotal="0"/>
    <pivotField showAll="0"/>
    <pivotField showAll="0">
      <items count="8">
        <item m="1" x="4"/>
        <item m="1" x="6"/>
        <item m="1" x="5"/>
        <item x="3"/>
        <item x="0"/>
        <item x="1"/>
        <item x="2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11">
        <item m="1" x="8"/>
        <item m="1" x="10"/>
        <item m="1" x="9"/>
        <item x="5"/>
        <item x="7"/>
        <item x="4"/>
        <item x="6"/>
        <item x="2"/>
        <item x="3"/>
        <item x="1"/>
        <item x="0"/>
      </items>
    </pivotField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defaultSubtotal="0">
      <items count="8">
        <item x="4"/>
        <item x="7"/>
        <item x="3"/>
        <item x="1"/>
        <item x="0"/>
        <item x="5"/>
        <item x="6"/>
        <item h="1" x="2"/>
      </items>
    </pivotField>
    <pivotField axis="axisCol" showAll="0" defaultSubtotal="0">
      <items count="6">
        <item x="0"/>
        <item x="1"/>
        <item x="2"/>
        <item x="3"/>
        <item x="4"/>
        <item x="5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32"/>
  </rowFields>
  <rowItems count="9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48"/>
  </colFields>
  <colItems count="6">
    <i>
      <x/>
    </i>
    <i>
      <x v="2"/>
    </i>
    <i>
      <x v="3"/>
    </i>
    <i>
      <x v="4"/>
    </i>
    <i>
      <x v="5"/>
    </i>
    <i t="grand">
      <x/>
    </i>
  </colItems>
  <pageFields count="1">
    <pageField fld="47" hier="-1"/>
  </pageFields>
  <dataFields count="1">
    <dataField name="Cuenta de NOMBRE CLIENTE" fld="33" subtotal="count" baseField="0" baseItem="0"/>
  </dataFields>
  <formats count="37">
    <format dxfId="1977">
      <pivotArea type="all" dataOnly="0" outline="0" fieldPosition="0"/>
    </format>
    <format dxfId="1976">
      <pivotArea type="all" dataOnly="0" outline="0" fieldPosition="0"/>
    </format>
    <format dxfId="1975">
      <pivotArea outline="0" collapsedLevelsAreSubtotals="1" fieldPosition="0"/>
    </format>
    <format dxfId="1974">
      <pivotArea dataOnly="0" labelOnly="1" grandRow="1" outline="0" fieldPosition="0"/>
    </format>
    <format dxfId="1973">
      <pivotArea grandRow="1" outline="0" collapsedLevelsAreSubtotals="1" fieldPosition="0"/>
    </format>
    <format dxfId="1972">
      <pivotArea dataOnly="0" labelOnly="1" grandRow="1" outline="0" fieldPosition="0"/>
    </format>
    <format dxfId="1971">
      <pivotArea grandRow="1" outline="0" collapsedLevelsAreSubtotals="1" fieldPosition="0"/>
    </format>
    <format dxfId="1970">
      <pivotArea dataOnly="0" labelOnly="1" grandRow="1" outline="0" fieldPosition="0"/>
    </format>
    <format dxfId="1969">
      <pivotArea field="12" type="button" dataOnly="0" labelOnly="1" outline="0"/>
    </format>
    <format dxfId="1968">
      <pivotArea dataOnly="0" labelOnly="1" grandCol="1" outline="0" fieldPosition="0"/>
    </format>
    <format dxfId="1967">
      <pivotArea dataOnly="0" labelOnly="1" grandCol="1" outline="0" fieldPosition="0"/>
    </format>
    <format dxfId="1966">
      <pivotArea dataOnly="0" labelOnly="1" grandCol="1" outline="0" fieldPosition="0"/>
    </format>
    <format dxfId="1965">
      <pivotArea dataOnly="0" labelOnly="1" grandCol="1" outline="0" fieldPosition="0"/>
    </format>
    <format dxfId="1964">
      <pivotArea outline="0" collapsedLevelsAreSubtotals="1" fieldPosition="0"/>
    </format>
    <format dxfId="1963">
      <pivotArea dataOnly="0" labelOnly="1" grandRow="1" outline="0" fieldPosition="0"/>
    </format>
    <format dxfId="1962">
      <pivotArea grandRow="1" outline="0" collapsedLevelsAreSubtotals="1" fieldPosition="0"/>
    </format>
    <format dxfId="1961">
      <pivotArea grandRow="1" outline="0" collapsedLevelsAreSubtotals="1" fieldPosition="0"/>
    </format>
    <format dxfId="1960">
      <pivotArea dataOnly="0" grandRow="1" fieldPosition="0"/>
    </format>
    <format dxfId="1959">
      <pivotArea dataOnly="0" grandRow="1" fieldPosition="0"/>
    </format>
    <format dxfId="1958">
      <pivotArea dataOnly="0" labelOnly="1" grandCol="1" outline="0" fieldPosition="0"/>
    </format>
    <format dxfId="1957">
      <pivotArea dataOnly="0" labelOnly="1" fieldPosition="0">
        <references count="1">
          <reference field="48" count="1">
            <x v="0"/>
          </reference>
        </references>
      </pivotArea>
    </format>
    <format dxfId="1956">
      <pivotArea dataOnly="0" labelOnly="1" fieldPosition="0">
        <references count="1">
          <reference field="48" count="1">
            <x v="2"/>
          </reference>
        </references>
      </pivotArea>
    </format>
    <format dxfId="1955">
      <pivotArea dataOnly="0" labelOnly="1" fieldPosition="0">
        <references count="1">
          <reference field="48" count="3">
            <x v="3"/>
            <x v="4"/>
            <x v="5"/>
          </reference>
        </references>
      </pivotArea>
    </format>
    <format dxfId="1954">
      <pivotArea dataOnly="0" labelOnly="1" fieldPosition="0">
        <references count="1">
          <reference field="48" count="3">
            <x v="3"/>
            <x v="4"/>
            <x v="5"/>
          </reference>
        </references>
      </pivotArea>
    </format>
    <format dxfId="1953">
      <pivotArea dataOnly="0" labelOnly="1" fieldPosition="0">
        <references count="1">
          <reference field="32" count="7">
            <x v="0"/>
            <x v="2"/>
            <x v="4"/>
            <x v="5"/>
            <x v="6"/>
            <x v="8"/>
            <x v="9"/>
          </reference>
        </references>
      </pivotArea>
    </format>
    <format dxfId="1952">
      <pivotArea collapsedLevelsAreSubtotals="1" fieldPosition="0">
        <references count="1">
          <reference field="32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951">
      <pivotArea dataOnly="0" labelOnly="1" fieldPosition="0">
        <references count="1">
          <reference field="32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950">
      <pivotArea dataOnly="0" labelOnly="1" fieldPosition="0">
        <references count="1">
          <reference field="48" count="2">
            <x v="3"/>
            <x v="4"/>
          </reference>
        </references>
      </pivotArea>
    </format>
    <format dxfId="1949">
      <pivotArea field="47" type="button" dataOnly="0" labelOnly="1" outline="0" axis="axisPage" fieldPosition="0"/>
    </format>
    <format dxfId="1948">
      <pivotArea type="origin" dataOnly="0" labelOnly="1" outline="0" fieldPosition="0"/>
    </format>
    <format dxfId="1947">
      <pivotArea field="32" type="button" dataOnly="0" labelOnly="1" outline="0" axis="axisRow" fieldPosition="0"/>
    </format>
    <format dxfId="1946">
      <pivotArea dataOnly="0" labelOnly="1" outline="0" fieldPosition="0">
        <references count="1">
          <reference field="47" count="0"/>
        </references>
      </pivotArea>
    </format>
    <format dxfId="1945">
      <pivotArea field="47" type="button" dataOnly="0" labelOnly="1" outline="0" axis="axisPage" fieldPosition="0"/>
    </format>
    <format dxfId="1944">
      <pivotArea type="origin" dataOnly="0" labelOnly="1" outline="0" fieldPosition="0"/>
    </format>
    <format dxfId="1943">
      <pivotArea field="32" type="button" dataOnly="0" labelOnly="1" outline="0" axis="axisRow" fieldPosition="0"/>
    </format>
    <format dxfId="1942">
      <pivotArea dataOnly="0" labelOnly="1" outline="0" fieldPosition="0">
        <references count="1">
          <reference field="47" count="0"/>
        </references>
      </pivotArea>
    </format>
    <format dxfId="1941">
      <pivotArea dataOnly="0" labelOnly="1" fieldPosition="0">
        <references count="1">
          <reference field="32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8" cacheId="54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Z6:AG45" firstHeaderRow="1" firstDataRow="2" firstDataCol="1" rowPageCount="1" colPageCount="1"/>
  <pivotFields count="120"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numFmtId="4" showAll="0"/>
    <pivotField showAll="0" defaultSubtotal="0"/>
    <pivotField showAll="0"/>
    <pivotField showAll="0">
      <items count="8">
        <item m="1" x="4"/>
        <item m="1" x="6"/>
        <item m="1" x="5"/>
        <item x="3"/>
        <item x="0"/>
        <item x="1"/>
        <item x="2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showAll="0" defaultSubtotal="0">
      <items count="11">
        <item m="1" x="8"/>
        <item m="1" x="10"/>
        <item m="1" x="9"/>
        <item x="5"/>
        <item x="7"/>
        <item x="4"/>
        <item x="6"/>
        <item x="2"/>
        <item x="3"/>
        <item x="1"/>
        <item x="0"/>
      </items>
    </pivotField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7">
        <item x="3"/>
        <item x="2"/>
        <item x="1"/>
        <item x="4"/>
        <item x="5"/>
        <item x="6"/>
        <item h="1" x="0"/>
      </items>
    </pivotField>
    <pivotField axis="axisRow" multipleItemSelectionAllowed="1" showAll="0" defaultSubtotal="0">
      <items count="8">
        <item x="4"/>
        <item x="7"/>
        <item x="3"/>
        <item x="1"/>
        <item x="0"/>
        <item x="5"/>
        <item x="6"/>
        <item h="1" x="2"/>
      </items>
    </pivotField>
    <pivotField showAll="0" defaultSubtotal="0"/>
    <pivotField showAll="0" defaultSubtotal="0"/>
    <pivotField axis="axisRow" showAll="0" defaultSubtotal="0">
      <items count="6">
        <item x="0"/>
        <item x="5"/>
        <item x="1"/>
        <item x="2"/>
        <item x="3"/>
        <item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47"/>
    <field x="50"/>
  </rowFields>
  <rowItems count="38">
    <i>
      <x/>
    </i>
    <i r="1">
      <x/>
    </i>
    <i r="1">
      <x v="1"/>
    </i>
    <i r="1">
      <x v="3"/>
    </i>
    <i r="1">
      <x v="4"/>
    </i>
    <i>
      <x v="1"/>
    </i>
    <i r="1">
      <x v="1"/>
    </i>
    <i r="1">
      <x v="2"/>
    </i>
    <i r="1">
      <x v="4"/>
    </i>
    <i>
      <x v="2"/>
    </i>
    <i r="1">
      <x/>
    </i>
    <i r="1">
      <x v="1"/>
    </i>
    <i r="1">
      <x v="2"/>
    </i>
    <i r="1">
      <x v="4"/>
    </i>
    <i>
      <x v="3"/>
    </i>
    <i r="1">
      <x/>
    </i>
    <i r="1">
      <x v="1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4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32" hier="-1"/>
  </pageFields>
  <dataFields count="1">
    <dataField name="Cuenta de NOMBRE CLIENTE" fld="33" subtotal="count" baseField="0" baseItem="0"/>
  </dataFields>
  <formats count="51">
    <format dxfId="2028">
      <pivotArea type="all" dataOnly="0" outline="0" fieldPosition="0"/>
    </format>
    <format dxfId="2027">
      <pivotArea type="all" dataOnly="0" outline="0" fieldPosition="0"/>
    </format>
    <format dxfId="2026">
      <pivotArea outline="0" collapsedLevelsAreSubtotals="1" fieldPosition="0"/>
    </format>
    <format dxfId="2025">
      <pivotArea dataOnly="0" labelOnly="1" grandRow="1" outline="0" fieldPosition="0"/>
    </format>
    <format dxfId="2024">
      <pivotArea grandRow="1" outline="0" collapsedLevelsAreSubtotals="1" fieldPosition="0"/>
    </format>
    <format dxfId="2023">
      <pivotArea dataOnly="0" labelOnly="1" grandRow="1" outline="0" fieldPosition="0"/>
    </format>
    <format dxfId="2022">
      <pivotArea grandRow="1" outline="0" collapsedLevelsAreSubtotals="1" fieldPosition="0"/>
    </format>
    <format dxfId="2021">
      <pivotArea dataOnly="0" labelOnly="1" grandRow="1" outline="0" fieldPosition="0"/>
    </format>
    <format dxfId="2020">
      <pivotArea field="12" type="button" dataOnly="0" labelOnly="1" outline="0"/>
    </format>
    <format dxfId="2019">
      <pivotArea dataOnly="0" labelOnly="1" grandCol="1" outline="0" fieldPosition="0"/>
    </format>
    <format dxfId="2018">
      <pivotArea dataOnly="0" labelOnly="1" grandCol="1" outline="0" fieldPosition="0"/>
    </format>
    <format dxfId="2017">
      <pivotArea dataOnly="0" labelOnly="1" grandCol="1" outline="0" fieldPosition="0"/>
    </format>
    <format dxfId="2016">
      <pivotArea dataOnly="0" labelOnly="1" grandCol="1" outline="0" fieldPosition="0"/>
    </format>
    <format dxfId="2015">
      <pivotArea outline="0" collapsedLevelsAreSubtotals="1" fieldPosition="0"/>
    </format>
    <format dxfId="2014">
      <pivotArea grandRow="1" outline="0" collapsedLevelsAreSubtotals="1" fieldPosition="0"/>
    </format>
    <format dxfId="2013">
      <pivotArea grandRow="1" outline="0" collapsedLevelsAreSubtotals="1" fieldPosition="0"/>
    </format>
    <format dxfId="2012">
      <pivotArea dataOnly="0" grandRow="1" fieldPosition="0"/>
    </format>
    <format dxfId="2011">
      <pivotArea dataOnly="0" grandRow="1" fieldPosition="0"/>
    </format>
    <format dxfId="2010">
      <pivotArea dataOnly="0" labelOnly="1" grandCol="1" outline="0" fieldPosition="0"/>
    </format>
    <format dxfId="2009">
      <pivotArea dataOnly="0" labelOnly="1" fieldPosition="0">
        <references count="1">
          <reference field="32" count="7">
            <x v="0"/>
            <x v="2"/>
            <x v="4"/>
            <x v="5"/>
            <x v="6"/>
            <x v="8"/>
            <x v="9"/>
          </reference>
        </references>
      </pivotArea>
    </format>
    <format dxfId="2008">
      <pivotArea collapsedLevelsAreSubtotals="1" fieldPosition="0">
        <references count="1">
          <reference field="32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2007">
      <pivotArea dataOnly="0" labelOnly="1" fieldPosition="0">
        <references count="1">
          <reference field="32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2006">
      <pivotArea field="47" type="button" dataOnly="0" labelOnly="1" outline="0" axis="axisRow" fieldPosition="0"/>
    </format>
    <format dxfId="2005">
      <pivotArea type="origin" dataOnly="0" labelOnly="1" outline="0" fieldPosition="0"/>
    </format>
    <format dxfId="2004">
      <pivotArea field="32" type="button" dataOnly="0" labelOnly="1" outline="0" axis="axisPage" fieldPosition="0"/>
    </format>
    <format dxfId="2003">
      <pivotArea dataOnly="0" labelOnly="1" outline="0" fieldPosition="0">
        <references count="1">
          <reference field="47" count="0"/>
        </references>
      </pivotArea>
    </format>
    <format dxfId="2002">
      <pivotArea field="47" type="button" dataOnly="0" labelOnly="1" outline="0" axis="axisRow" fieldPosition="0"/>
    </format>
    <format dxfId="2001">
      <pivotArea type="origin" dataOnly="0" labelOnly="1" outline="0" fieldPosition="0"/>
    </format>
    <format dxfId="2000">
      <pivotArea field="32" type="button" dataOnly="0" labelOnly="1" outline="0" axis="axisPage" fieldPosition="0"/>
    </format>
    <format dxfId="1999">
      <pivotArea dataOnly="0" labelOnly="1" outline="0" fieldPosition="0">
        <references count="1">
          <reference field="47" count="0"/>
        </references>
      </pivotArea>
    </format>
    <format dxfId="1998">
      <pivotArea dataOnly="0" labelOnly="1" fieldPosition="0">
        <references count="1">
          <reference field="32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997">
      <pivotArea dataOnly="0" labelOnly="1" fieldPosition="0">
        <references count="1">
          <reference field="46" count="6">
            <x v="0"/>
            <x v="1"/>
            <x v="2"/>
            <x v="3"/>
            <x v="4"/>
            <x v="5"/>
          </reference>
        </references>
      </pivotArea>
    </format>
    <format dxfId="1996">
      <pivotArea dataOnly="0" labelOnly="1" grandCol="1" outline="0" fieldPosition="0"/>
    </format>
    <format dxfId="1995">
      <pivotArea dataOnly="0" labelOnly="1" fieldPosition="0">
        <references count="1">
          <reference field="46" count="6">
            <x v="0"/>
            <x v="1"/>
            <x v="2"/>
            <x v="3"/>
            <x v="4"/>
            <x v="5"/>
          </reference>
        </references>
      </pivotArea>
    </format>
    <format dxfId="1994">
      <pivotArea dataOnly="0" labelOnly="1" grandCol="1" outline="0" fieldPosition="0"/>
    </format>
    <format dxfId="1993">
      <pivotArea dataOnly="0" labelOnly="1" fieldPosition="0">
        <references count="1">
          <reference field="46" count="6">
            <x v="0"/>
            <x v="1"/>
            <x v="2"/>
            <x v="3"/>
            <x v="4"/>
            <x v="5"/>
          </reference>
        </references>
      </pivotArea>
    </format>
    <format dxfId="1992">
      <pivotArea dataOnly="0" labelOnly="1" grandCol="1" outline="0" fieldPosition="0"/>
    </format>
    <format dxfId="1991">
      <pivotArea dataOnly="0" labelOnly="1" fieldPosition="0">
        <references count="1">
          <reference field="32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990">
      <pivotArea outline="0" collapsedLevelsAreSubtotals="1" fieldPosition="0">
        <references count="1">
          <reference field="46" count="1" selected="0">
            <x v="0"/>
          </reference>
        </references>
      </pivotArea>
    </format>
    <format dxfId="1989">
      <pivotArea dataOnly="0" labelOnly="1" grandRow="1" outline="0" fieldPosition="0"/>
    </format>
    <format dxfId="1988">
      <pivotArea collapsedLevelsAreSubtotals="1" fieldPosition="0">
        <references count="1">
          <reference field="50" count="1">
            <x v="1"/>
          </reference>
        </references>
      </pivotArea>
    </format>
    <format dxfId="1987">
      <pivotArea collapsedLevelsAreSubtotals="1" fieldPosition="0">
        <references count="1">
          <reference field="50" count="1">
            <x v="2"/>
          </reference>
        </references>
      </pivotArea>
    </format>
    <format dxfId="1986">
      <pivotArea collapsedLevelsAreSubtotals="1" fieldPosition="0">
        <references count="1">
          <reference field="50" count="1">
            <x v="3"/>
          </reference>
        </references>
      </pivotArea>
    </format>
    <format dxfId="1985">
      <pivotArea collapsedLevelsAreSubtotals="1" fieldPosition="0">
        <references count="1">
          <reference field="50" count="1">
            <x v="4"/>
          </reference>
        </references>
      </pivotArea>
    </format>
    <format dxfId="1984">
      <pivotArea grandRow="1" outline="0" collapsedLevelsAreSubtotals="1" fieldPosition="0"/>
    </format>
    <format dxfId="1983">
      <pivotArea dataOnly="0" labelOnly="1" fieldPosition="0">
        <references count="1">
          <reference field="50" count="4">
            <x v="1"/>
            <x v="2"/>
            <x v="3"/>
            <x v="4"/>
          </reference>
        </references>
      </pivotArea>
    </format>
    <format dxfId="1982">
      <pivotArea dataOnly="0" labelOnly="1" grandRow="1" outline="0" fieldPosition="0"/>
    </format>
    <format dxfId="1981">
      <pivotArea dataOnly="0" fieldPosition="0">
        <references count="1">
          <reference field="50" count="5">
            <x v="0"/>
            <x v="1"/>
            <x v="2"/>
            <x v="3"/>
            <x v="4"/>
          </reference>
        </references>
      </pivotArea>
    </format>
    <format dxfId="1980">
      <pivotArea field="50" type="button" dataOnly="0" labelOnly="1" outline="0" axis="axisRow" fieldPosition="1"/>
    </format>
    <format dxfId="1979">
      <pivotArea dataOnly="0" labelOnly="1" outline="0" fieldPosition="0">
        <references count="1">
          <reference field="32" count="0"/>
        </references>
      </pivotArea>
    </format>
    <format dxfId="1978">
      <pivotArea dataOnly="0" fieldPosition="0">
        <references count="1">
          <reference field="47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1" cacheId="54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M6:U38" firstHeaderRow="1" firstDataRow="2" firstDataCol="1" rowPageCount="2" colPageCount="1"/>
  <pivotFields count="120"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numFmtId="4" showAll="0"/>
    <pivotField showAll="0" defaultSubtotal="0"/>
    <pivotField showAll="0"/>
    <pivotField showAll="0">
      <items count="8">
        <item m="1" x="4"/>
        <item m="1" x="6"/>
        <item m="1" x="5"/>
        <item x="3"/>
        <item x="0"/>
        <item x="1"/>
        <item x="2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showAll="0" defaultSubtotal="0">
      <items count="11">
        <item m="1" x="8"/>
        <item m="1" x="10"/>
        <item m="1" x="9"/>
        <item x="5"/>
        <item x="7"/>
        <item x="4"/>
        <item x="6"/>
        <item x="2"/>
        <item x="3"/>
        <item x="1"/>
        <item x="0"/>
      </items>
    </pivotField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7">
        <item x="3"/>
        <item x="2"/>
        <item x="1"/>
        <item x="4"/>
        <item x="5"/>
        <item x="6"/>
        <item x="0"/>
      </items>
    </pivotField>
    <pivotField axis="axisPage" multipleItemSelectionAllowed="1" showAll="0" defaultSubtotal="0">
      <items count="8">
        <item x="4"/>
        <item x="7"/>
        <item x="3"/>
        <item x="1"/>
        <item x="0"/>
        <item x="5"/>
        <item x="6"/>
        <item h="1" x="2"/>
      </items>
    </pivotField>
    <pivotField axis="axisRow" showAll="0" defaultSubtotal="0">
      <items count="6">
        <item x="0"/>
        <item x="2"/>
        <item x="4"/>
        <item x="3"/>
        <item x="5"/>
        <item x="1"/>
      </items>
    </pivotField>
    <pivotField showAll="0" defaultSubtotal="0"/>
    <pivotField axis="axisRow" showAll="0" defaultSubtotal="0">
      <items count="6">
        <item x="0"/>
        <item x="5"/>
        <item x="1"/>
        <item x="2"/>
        <item x="3"/>
        <item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50"/>
    <field x="48"/>
  </rowFields>
  <rowItems count="31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4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47" hier="-1"/>
    <pageField fld="32" hier="-1"/>
  </pageFields>
  <dataFields count="1">
    <dataField name="Cuenta de NOMBRE CLIENTE" fld="33" subtotal="count" baseField="0" baseItem="0"/>
  </dataFields>
  <formats count="58">
    <format dxfId="2086">
      <pivotArea type="all" dataOnly="0" outline="0" fieldPosition="0"/>
    </format>
    <format dxfId="2085">
      <pivotArea type="all" dataOnly="0" outline="0" fieldPosition="0"/>
    </format>
    <format dxfId="2084">
      <pivotArea outline="0" collapsedLevelsAreSubtotals="1" fieldPosition="0"/>
    </format>
    <format dxfId="2083">
      <pivotArea dataOnly="0" labelOnly="1" grandRow="1" outline="0" fieldPosition="0"/>
    </format>
    <format dxfId="2082">
      <pivotArea grandRow="1" outline="0" collapsedLevelsAreSubtotals="1" fieldPosition="0"/>
    </format>
    <format dxfId="2081">
      <pivotArea dataOnly="0" labelOnly="1" grandRow="1" outline="0" fieldPosition="0"/>
    </format>
    <format dxfId="2080">
      <pivotArea grandRow="1" outline="0" collapsedLevelsAreSubtotals="1" fieldPosition="0"/>
    </format>
    <format dxfId="2079">
      <pivotArea dataOnly="0" labelOnly="1" grandRow="1" outline="0" fieldPosition="0"/>
    </format>
    <format dxfId="2078">
      <pivotArea field="12" type="button" dataOnly="0" labelOnly="1" outline="0"/>
    </format>
    <format dxfId="2077">
      <pivotArea dataOnly="0" labelOnly="1" grandCol="1" outline="0" fieldPosition="0"/>
    </format>
    <format dxfId="2076">
      <pivotArea dataOnly="0" labelOnly="1" grandCol="1" outline="0" fieldPosition="0"/>
    </format>
    <format dxfId="2075">
      <pivotArea dataOnly="0" labelOnly="1" grandCol="1" outline="0" fieldPosition="0"/>
    </format>
    <format dxfId="2074">
      <pivotArea dataOnly="0" labelOnly="1" grandCol="1" outline="0" fieldPosition="0"/>
    </format>
    <format dxfId="2073">
      <pivotArea outline="0" collapsedLevelsAreSubtotals="1" fieldPosition="0"/>
    </format>
    <format dxfId="2072">
      <pivotArea grandRow="1" outline="0" collapsedLevelsAreSubtotals="1" fieldPosition="0"/>
    </format>
    <format dxfId="2071">
      <pivotArea grandRow="1" outline="0" collapsedLevelsAreSubtotals="1" fieldPosition="0"/>
    </format>
    <format dxfId="2070">
      <pivotArea dataOnly="0" grandRow="1" fieldPosition="0"/>
    </format>
    <format dxfId="2069">
      <pivotArea dataOnly="0" grandRow="1" fieldPosition="0"/>
    </format>
    <format dxfId="2068">
      <pivotArea dataOnly="0" labelOnly="1" grandCol="1" outline="0" fieldPosition="0"/>
    </format>
    <format dxfId="2067">
      <pivotArea dataOnly="0" labelOnly="1" fieldPosition="0">
        <references count="1">
          <reference field="32" count="7">
            <x v="0"/>
            <x v="2"/>
            <x v="4"/>
            <x v="5"/>
            <x v="6"/>
            <x v="8"/>
            <x v="9"/>
          </reference>
        </references>
      </pivotArea>
    </format>
    <format dxfId="2066">
      <pivotArea collapsedLevelsAreSubtotals="1" fieldPosition="0">
        <references count="1">
          <reference field="32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2065">
      <pivotArea dataOnly="0" labelOnly="1" fieldPosition="0">
        <references count="1">
          <reference field="32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2064">
      <pivotArea field="47" type="button" dataOnly="0" labelOnly="1" outline="0" axis="axisPage" fieldPosition="0"/>
    </format>
    <format dxfId="2063">
      <pivotArea type="origin" dataOnly="0" labelOnly="1" outline="0" fieldPosition="0"/>
    </format>
    <format dxfId="2062">
      <pivotArea field="32" type="button" dataOnly="0" labelOnly="1" outline="0" axis="axisPage" fieldPosition="1"/>
    </format>
    <format dxfId="2061">
      <pivotArea dataOnly="0" labelOnly="1" outline="0" fieldPosition="0">
        <references count="1">
          <reference field="47" count="0"/>
        </references>
      </pivotArea>
    </format>
    <format dxfId="2060">
      <pivotArea field="47" type="button" dataOnly="0" labelOnly="1" outline="0" axis="axisPage" fieldPosition="0"/>
    </format>
    <format dxfId="2059">
      <pivotArea type="origin" dataOnly="0" labelOnly="1" outline="0" fieldPosition="0"/>
    </format>
    <format dxfId="2058">
      <pivotArea field="32" type="button" dataOnly="0" labelOnly="1" outline="0" axis="axisPage" fieldPosition="1"/>
    </format>
    <format dxfId="2057">
      <pivotArea dataOnly="0" labelOnly="1" outline="0" fieldPosition="0">
        <references count="1">
          <reference field="47" count="0"/>
        </references>
      </pivotArea>
    </format>
    <format dxfId="2056">
      <pivotArea dataOnly="0" labelOnly="1" fieldPosition="0">
        <references count="1">
          <reference field="32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2055">
      <pivotArea dataOnly="0" labelOnly="1" fieldPosition="0">
        <references count="1">
          <reference field="46" count="6">
            <x v="0"/>
            <x v="1"/>
            <x v="2"/>
            <x v="3"/>
            <x v="4"/>
            <x v="5"/>
          </reference>
        </references>
      </pivotArea>
    </format>
    <format dxfId="2054">
      <pivotArea dataOnly="0" labelOnly="1" grandCol="1" outline="0" fieldPosition="0"/>
    </format>
    <format dxfId="2053">
      <pivotArea dataOnly="0" labelOnly="1" fieldPosition="0">
        <references count="1">
          <reference field="46" count="6">
            <x v="0"/>
            <x v="1"/>
            <x v="2"/>
            <x v="3"/>
            <x v="4"/>
            <x v="5"/>
          </reference>
        </references>
      </pivotArea>
    </format>
    <format dxfId="2052">
      <pivotArea dataOnly="0" labelOnly="1" grandCol="1" outline="0" fieldPosition="0"/>
    </format>
    <format dxfId="2051">
      <pivotArea dataOnly="0" labelOnly="1" fieldPosition="0">
        <references count="1">
          <reference field="46" count="6">
            <x v="0"/>
            <x v="1"/>
            <x v="2"/>
            <x v="3"/>
            <x v="4"/>
            <x v="5"/>
          </reference>
        </references>
      </pivotArea>
    </format>
    <format dxfId="2050">
      <pivotArea dataOnly="0" labelOnly="1" grandCol="1" outline="0" fieldPosition="0"/>
    </format>
    <format dxfId="2049">
      <pivotArea dataOnly="0" labelOnly="1" fieldPosition="0">
        <references count="1">
          <reference field="32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2048">
      <pivotArea outline="0" collapsedLevelsAreSubtotals="1" fieldPosition="0">
        <references count="1">
          <reference field="46" count="1" selected="0">
            <x v="0"/>
          </reference>
        </references>
      </pivotArea>
    </format>
    <format dxfId="2047">
      <pivotArea dataOnly="0" labelOnly="1" fieldPosition="0">
        <references count="1">
          <reference field="48" count="5">
            <x v="0"/>
            <x v="1"/>
            <x v="2"/>
            <x v="3"/>
            <x v="4"/>
          </reference>
        </references>
      </pivotArea>
    </format>
    <format dxfId="2046">
      <pivotArea dataOnly="0" labelOnly="1" grandRow="1" outline="0" fieldPosition="0"/>
    </format>
    <format dxfId="2045">
      <pivotArea collapsedLevelsAreSubtotals="1" fieldPosition="0">
        <references count="2">
          <reference field="48" count="5">
            <x v="0"/>
            <x v="1"/>
            <x v="2"/>
            <x v="3"/>
            <x v="4"/>
          </reference>
          <reference field="50" count="1" selected="0">
            <x v="0"/>
          </reference>
        </references>
      </pivotArea>
    </format>
    <format dxfId="2044">
      <pivotArea collapsedLevelsAreSubtotals="1" fieldPosition="0">
        <references count="1">
          <reference field="50" count="1">
            <x v="1"/>
          </reference>
        </references>
      </pivotArea>
    </format>
    <format dxfId="2043">
      <pivotArea collapsedLevelsAreSubtotals="1" fieldPosition="0">
        <references count="2">
          <reference field="48" count="5">
            <x v="0"/>
            <x v="1"/>
            <x v="2"/>
            <x v="3"/>
            <x v="4"/>
          </reference>
          <reference field="50" count="1" selected="0">
            <x v="1"/>
          </reference>
        </references>
      </pivotArea>
    </format>
    <format dxfId="2042">
      <pivotArea collapsedLevelsAreSubtotals="1" fieldPosition="0">
        <references count="1">
          <reference field="50" count="1">
            <x v="2"/>
          </reference>
        </references>
      </pivotArea>
    </format>
    <format dxfId="2041">
      <pivotArea collapsedLevelsAreSubtotals="1" fieldPosition="0">
        <references count="2">
          <reference field="48" count="5">
            <x v="0"/>
            <x v="1"/>
            <x v="2"/>
            <x v="3"/>
            <x v="4"/>
          </reference>
          <reference field="50" count="1" selected="0">
            <x v="2"/>
          </reference>
        </references>
      </pivotArea>
    </format>
    <format dxfId="2040">
      <pivotArea collapsedLevelsAreSubtotals="1" fieldPosition="0">
        <references count="1">
          <reference field="50" count="1">
            <x v="3"/>
          </reference>
        </references>
      </pivotArea>
    </format>
    <format dxfId="2039">
      <pivotArea collapsedLevelsAreSubtotals="1" fieldPosition="0">
        <references count="2">
          <reference field="48" count="5">
            <x v="0"/>
            <x v="1"/>
            <x v="2"/>
            <x v="3"/>
            <x v="4"/>
          </reference>
          <reference field="50" count="1" selected="0">
            <x v="3"/>
          </reference>
        </references>
      </pivotArea>
    </format>
    <format dxfId="2038">
      <pivotArea collapsedLevelsAreSubtotals="1" fieldPosition="0">
        <references count="1">
          <reference field="50" count="1">
            <x v="4"/>
          </reference>
        </references>
      </pivotArea>
    </format>
    <format dxfId="2037">
      <pivotArea collapsedLevelsAreSubtotals="1" fieldPosition="0">
        <references count="2">
          <reference field="48" count="5">
            <x v="0"/>
            <x v="1"/>
            <x v="2"/>
            <x v="3"/>
            <x v="4"/>
          </reference>
          <reference field="50" count="1" selected="0">
            <x v="4"/>
          </reference>
        </references>
      </pivotArea>
    </format>
    <format dxfId="2036">
      <pivotArea grandRow="1" outline="0" collapsedLevelsAreSubtotals="1" fieldPosition="0"/>
    </format>
    <format dxfId="2035">
      <pivotArea dataOnly="0" labelOnly="1" fieldPosition="0">
        <references count="1">
          <reference field="50" count="4">
            <x v="1"/>
            <x v="2"/>
            <x v="3"/>
            <x v="4"/>
          </reference>
        </references>
      </pivotArea>
    </format>
    <format dxfId="2034">
      <pivotArea dataOnly="0" labelOnly="1" grandRow="1" outline="0" fieldPosition="0"/>
    </format>
    <format dxfId="2033">
      <pivotArea dataOnly="0" labelOnly="1" fieldPosition="0">
        <references count="2">
          <reference field="48" count="5">
            <x v="0"/>
            <x v="1"/>
            <x v="2"/>
            <x v="3"/>
            <x v="4"/>
          </reference>
          <reference field="50" count="1" selected="0">
            <x v="0"/>
          </reference>
        </references>
      </pivotArea>
    </format>
    <format dxfId="2032">
      <pivotArea dataOnly="0" fieldPosition="0">
        <references count="1">
          <reference field="50" count="5">
            <x v="0"/>
            <x v="1"/>
            <x v="2"/>
            <x v="3"/>
            <x v="4"/>
          </reference>
        </references>
      </pivotArea>
    </format>
    <format dxfId="2031">
      <pivotArea dataOnly="0" fieldPosition="0">
        <references count="1">
          <reference field="48" count="1">
            <x v="1"/>
          </reference>
        </references>
      </pivotArea>
    </format>
    <format dxfId="2030">
      <pivotArea field="50" type="button" dataOnly="0" labelOnly="1" outline="0" axis="axisRow" fieldPosition="0"/>
    </format>
    <format dxfId="2029">
      <pivotArea dataOnly="0" labelOnly="1" outline="0" fieldPosition="0">
        <references count="1">
          <reference field="3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 dinámica5" cacheId="54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C26:I63" firstHeaderRow="1" firstDataRow="2" firstDataCol="1" rowPageCount="1" colPageCount="1"/>
  <pivotFields count="120"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numFmtId="4" showAll="0"/>
    <pivotField showAll="0" defaultSubtotal="0"/>
    <pivotField showAll="0"/>
    <pivotField showAll="0">
      <items count="8">
        <item m="1" x="4"/>
        <item m="1" x="6"/>
        <item m="1" x="5"/>
        <item x="3"/>
        <item x="0"/>
        <item x="1"/>
        <item x="2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11">
        <item m="1" x="8"/>
        <item m="1" x="10"/>
        <item m="1" x="9"/>
        <item x="5"/>
        <item x="7"/>
        <item x="4"/>
        <item x="6"/>
        <item x="2"/>
        <item x="3"/>
        <item x="1"/>
        <item x="0"/>
      </items>
    </pivotField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defaultSubtotal="0">
      <items count="8">
        <item x="4"/>
        <item x="7"/>
        <item x="3"/>
        <item x="1"/>
        <item x="0"/>
        <item x="5"/>
        <item x="6"/>
        <item h="1" x="2"/>
      </items>
    </pivotField>
    <pivotField axis="axisCol" showAll="0" defaultSubtotal="0">
      <items count="6">
        <item x="0"/>
        <item x="1"/>
        <item x="2"/>
        <item x="3"/>
        <item x="4"/>
        <item x="5"/>
      </items>
    </pivotField>
    <pivotField showAll="0" defaultSubtotal="0"/>
    <pivotField axis="axisRow" showAll="0" defaultSubtotal="0">
      <items count="6">
        <item x="0"/>
        <item x="5"/>
        <item x="1"/>
        <item x="2"/>
        <item x="3"/>
        <item h="1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50"/>
    <field x="32"/>
  </rowFields>
  <rowItems count="36">
    <i>
      <x/>
    </i>
    <i r="1">
      <x v="4"/>
    </i>
    <i r="1">
      <x v="5"/>
    </i>
    <i r="1">
      <x v="6"/>
    </i>
    <i r="1">
      <x v="9"/>
    </i>
    <i r="1">
      <x v="10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>
      <x v="2"/>
    </i>
    <i r="1">
      <x v="3"/>
    </i>
    <i r="1">
      <x v="5"/>
    </i>
    <i r="1">
      <x v="6"/>
    </i>
    <i r="1">
      <x v="8"/>
    </i>
    <i r="1">
      <x v="9"/>
    </i>
    <i r="1">
      <x v="10"/>
    </i>
    <i>
      <x v="3"/>
    </i>
    <i r="1">
      <x v="3"/>
    </i>
    <i r="1">
      <x v="5"/>
    </i>
    <i r="1">
      <x v="8"/>
    </i>
    <i r="1">
      <x v="9"/>
    </i>
    <i r="1">
      <x v="10"/>
    </i>
    <i>
      <x v="4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Fields count="1">
    <field x="48"/>
  </colFields>
  <colItems count="6">
    <i>
      <x/>
    </i>
    <i>
      <x v="2"/>
    </i>
    <i>
      <x v="3"/>
    </i>
    <i>
      <x v="4"/>
    </i>
    <i>
      <x v="5"/>
    </i>
    <i t="grand">
      <x/>
    </i>
  </colItems>
  <pageFields count="1">
    <pageField fld="47" hier="-1"/>
  </pageFields>
  <dataFields count="1">
    <dataField name="Cuenta de NOMBRE CLIENTE" fld="33" subtotal="count" baseField="0" baseItem="0"/>
  </dataFields>
  <formats count="39">
    <format dxfId="2125">
      <pivotArea type="all" dataOnly="0" outline="0" fieldPosition="0"/>
    </format>
    <format dxfId="2124">
      <pivotArea type="all" dataOnly="0" outline="0" fieldPosition="0"/>
    </format>
    <format dxfId="2123">
      <pivotArea outline="0" collapsedLevelsAreSubtotals="1" fieldPosition="0"/>
    </format>
    <format dxfId="2122">
      <pivotArea dataOnly="0" labelOnly="1" grandRow="1" outline="0" fieldPosition="0"/>
    </format>
    <format dxfId="2121">
      <pivotArea grandRow="1" outline="0" collapsedLevelsAreSubtotals="1" fieldPosition="0"/>
    </format>
    <format dxfId="2120">
      <pivotArea dataOnly="0" labelOnly="1" grandRow="1" outline="0" fieldPosition="0"/>
    </format>
    <format dxfId="2119">
      <pivotArea grandRow="1" outline="0" collapsedLevelsAreSubtotals="1" fieldPosition="0"/>
    </format>
    <format dxfId="2118">
      <pivotArea dataOnly="0" labelOnly="1" grandRow="1" outline="0" fieldPosition="0"/>
    </format>
    <format dxfId="2117">
      <pivotArea field="12" type="button" dataOnly="0" labelOnly="1" outline="0"/>
    </format>
    <format dxfId="2116">
      <pivotArea dataOnly="0" labelOnly="1" grandCol="1" outline="0" fieldPosition="0"/>
    </format>
    <format dxfId="2115">
      <pivotArea dataOnly="0" labelOnly="1" grandCol="1" outline="0" fieldPosition="0"/>
    </format>
    <format dxfId="2114">
      <pivotArea dataOnly="0" labelOnly="1" grandCol="1" outline="0" fieldPosition="0"/>
    </format>
    <format dxfId="2113">
      <pivotArea dataOnly="0" labelOnly="1" grandCol="1" outline="0" fieldPosition="0"/>
    </format>
    <format dxfId="2112">
      <pivotArea outline="0" collapsedLevelsAreSubtotals="1" fieldPosition="0"/>
    </format>
    <format dxfId="2111">
      <pivotArea dataOnly="0" labelOnly="1" grandRow="1" outline="0" fieldPosition="0"/>
    </format>
    <format dxfId="2110">
      <pivotArea grandRow="1" outline="0" collapsedLevelsAreSubtotals="1" fieldPosition="0"/>
    </format>
    <format dxfId="2109">
      <pivotArea grandRow="1" outline="0" collapsedLevelsAreSubtotals="1" fieldPosition="0"/>
    </format>
    <format dxfId="2108">
      <pivotArea dataOnly="0" grandRow="1" fieldPosition="0"/>
    </format>
    <format dxfId="2107">
      <pivotArea dataOnly="0" grandRow="1" fieldPosition="0"/>
    </format>
    <format dxfId="2106">
      <pivotArea dataOnly="0" labelOnly="1" grandCol="1" outline="0" fieldPosition="0"/>
    </format>
    <format dxfId="2105">
      <pivotArea dataOnly="0" labelOnly="1" fieldPosition="0">
        <references count="1">
          <reference field="48" count="1">
            <x v="0"/>
          </reference>
        </references>
      </pivotArea>
    </format>
    <format dxfId="2104">
      <pivotArea dataOnly="0" labelOnly="1" fieldPosition="0">
        <references count="1">
          <reference field="48" count="1">
            <x v="2"/>
          </reference>
        </references>
      </pivotArea>
    </format>
    <format dxfId="2103">
      <pivotArea dataOnly="0" labelOnly="1" fieldPosition="0">
        <references count="1">
          <reference field="48" count="3">
            <x v="3"/>
            <x v="4"/>
            <x v="5"/>
          </reference>
        </references>
      </pivotArea>
    </format>
    <format dxfId="2102">
      <pivotArea dataOnly="0" labelOnly="1" fieldPosition="0">
        <references count="1">
          <reference field="48" count="3">
            <x v="3"/>
            <x v="4"/>
            <x v="5"/>
          </reference>
        </references>
      </pivotArea>
    </format>
    <format dxfId="2101">
      <pivotArea dataOnly="0" labelOnly="1" fieldPosition="0">
        <references count="1">
          <reference field="32" count="7">
            <x v="0"/>
            <x v="2"/>
            <x v="4"/>
            <x v="5"/>
            <x v="6"/>
            <x v="8"/>
            <x v="9"/>
          </reference>
        </references>
      </pivotArea>
    </format>
    <format dxfId="2100">
      <pivotArea collapsedLevelsAreSubtotals="1" fieldPosition="0">
        <references count="1">
          <reference field="32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2099">
      <pivotArea dataOnly="0" labelOnly="1" fieldPosition="0">
        <references count="1">
          <reference field="32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2098">
      <pivotArea dataOnly="0" labelOnly="1" fieldPosition="0">
        <references count="1">
          <reference field="48" count="2">
            <x v="3"/>
            <x v="4"/>
          </reference>
        </references>
      </pivotArea>
    </format>
    <format dxfId="2097">
      <pivotArea dataOnly="0" fieldPosition="0">
        <references count="1">
          <reference field="50" count="5">
            <x v="0"/>
            <x v="1"/>
            <x v="2"/>
            <x v="3"/>
            <x v="4"/>
          </reference>
        </references>
      </pivotArea>
    </format>
    <format dxfId="2096">
      <pivotArea dataOnly="0" fieldPosition="0">
        <references count="1">
          <reference field="50" count="5">
            <x v="0"/>
            <x v="1"/>
            <x v="2"/>
            <x v="3"/>
            <x v="4"/>
          </reference>
        </references>
      </pivotArea>
    </format>
    <format dxfId="2095">
      <pivotArea field="47" type="button" dataOnly="0" labelOnly="1" outline="0" axis="axisPage" fieldPosition="0"/>
    </format>
    <format dxfId="2094">
      <pivotArea type="origin" dataOnly="0" labelOnly="1" outline="0" fieldPosition="0"/>
    </format>
    <format dxfId="2093">
      <pivotArea field="50" type="button" dataOnly="0" labelOnly="1" outline="0" axis="axisRow" fieldPosition="0"/>
    </format>
    <format dxfId="2092">
      <pivotArea dataOnly="0" labelOnly="1" outline="0" fieldPosition="0">
        <references count="1">
          <reference field="47" count="0"/>
        </references>
      </pivotArea>
    </format>
    <format dxfId="2091">
      <pivotArea field="47" type="button" dataOnly="0" labelOnly="1" outline="0" axis="axisPage" fieldPosition="0"/>
    </format>
    <format dxfId="2090">
      <pivotArea type="origin" dataOnly="0" labelOnly="1" outline="0" fieldPosition="0"/>
    </format>
    <format dxfId="2089">
      <pivotArea field="50" type="button" dataOnly="0" labelOnly="1" outline="0" axis="axisRow" fieldPosition="0"/>
    </format>
    <format dxfId="2088">
      <pivotArea dataOnly="0" labelOnly="1" outline="0" fieldPosition="0">
        <references count="1">
          <reference field="47" count="0"/>
        </references>
      </pivotArea>
    </format>
    <format dxfId="2087">
      <pivotArea dataOnly="0" labelOnly="1" fieldPosition="0">
        <references count="1">
          <reference field="5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a dinámica6" cacheId="54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C6:I35" firstHeaderRow="0" firstDataRow="1" firstDataCol="1"/>
  <pivotFields count="120">
    <pivotField showAll="0"/>
    <pivotField showAll="0" defaultSubtotal="0"/>
    <pivotField dataField="1" showAll="0"/>
    <pivotField showAll="0"/>
    <pivotField showAll="0"/>
    <pivotField showAll="0"/>
    <pivotField showAll="0"/>
    <pivotField showAll="0" defaultSubtotal="0"/>
    <pivotField showAll="0" defaultSubtotal="0">
      <items count="6">
        <item x="4"/>
        <item x="3"/>
        <item x="2"/>
        <item x="1"/>
        <item x="0"/>
        <item h="1" x="5"/>
      </items>
    </pivotField>
    <pivotField numFmtId="4" showAll="0"/>
    <pivotField showAll="0" defaultSubtotal="0"/>
    <pivotField showAll="0"/>
    <pivotField axis="axisRow" showAll="0">
      <items count="8">
        <item m="1" x="4"/>
        <item m="1" x="6"/>
        <item m="1" x="5"/>
        <item h="1" x="3"/>
        <item x="2"/>
        <item x="1"/>
        <item x="0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axis="axisRow" showAll="0" defaultSubtotal="0">
      <items count="11">
        <item x="6"/>
        <item x="4"/>
        <item x="0"/>
        <item x="3"/>
        <item x="7"/>
        <item x="2"/>
        <item x="5"/>
        <item x="1"/>
        <item x="9"/>
        <item x="10"/>
        <item x="8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multipleItemSelectionAllowe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12"/>
    <field x="26"/>
  </rowFields>
  <rowItems count="29">
    <i>
      <x v="4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>
      <x v="5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10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10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uenta de ID" fld="2" subtotal="count" baseField="0" baseItem="0"/>
    <dataField name="Suma de VALOR LIBERACIÓN" fld="21" baseField="22" baseItem="2" numFmtId="166"/>
    <dataField name="Suma de MONTO MINISTRADO" fld="22" baseField="22" baseItem="8" numFmtId="166"/>
    <dataField name="Suma de POR EJERCER" fld="23" baseField="22" baseItem="8" numFmtId="166"/>
    <dataField name="Suma de CRED. PUENTE PAGADO" fld="24" baseField="11" baseItem="4" numFmtId="166"/>
    <dataField name="Suma de SALDO CRED. PUENTE" fld="25" baseField="11" baseItem="4" numFmtId="166"/>
  </dataFields>
  <formats count="29">
    <format dxfId="1888">
      <pivotArea type="all" dataOnly="0" outline="0" fieldPosition="0"/>
    </format>
    <format dxfId="1887">
      <pivotArea type="all" dataOnly="0" outline="0" fieldPosition="0"/>
    </format>
    <format dxfId="1886">
      <pivotArea outline="0" collapsedLevelsAreSubtotals="1" fieldPosition="0"/>
    </format>
    <format dxfId="1885">
      <pivotArea dataOnly="0" labelOnly="1" grandRow="1" outline="0" fieldPosition="0"/>
    </format>
    <format dxfId="1884">
      <pivotArea grandRow="1" outline="0" collapsedLevelsAreSubtotals="1" fieldPosition="0"/>
    </format>
    <format dxfId="1883">
      <pivotArea dataOnly="0" labelOnly="1" grandRow="1" outline="0" fieldPosition="0"/>
    </format>
    <format dxfId="1882">
      <pivotArea grandRow="1" outline="0" collapsedLevelsAreSubtotals="1" fieldPosition="0"/>
    </format>
    <format dxfId="1881">
      <pivotArea dataOnly="0" labelOnly="1" grandRow="1" outline="0" fieldPosition="0"/>
    </format>
    <format dxfId="1880">
      <pivotArea dataOnly="0" labelOnly="1" grandCol="1" outline="0" fieldPosition="0"/>
    </format>
    <format dxfId="1879">
      <pivotArea dataOnly="0" labelOnly="1" grandCol="1" outline="0" fieldPosition="0"/>
    </format>
    <format dxfId="1878">
      <pivotArea dataOnly="0" labelOnly="1" grandCol="1" outline="0" fieldPosition="0"/>
    </format>
    <format dxfId="1877">
      <pivotArea dataOnly="0" labelOnly="1" grandCol="1" outline="0" fieldPosition="0"/>
    </format>
    <format dxfId="1876">
      <pivotArea grandRow="1" outline="0" collapsedLevelsAreSubtotals="1" fieldPosition="0"/>
    </format>
    <format dxfId="1875">
      <pivotArea grandRow="1" outline="0" collapsedLevelsAreSubtotals="1" fieldPosition="0"/>
    </format>
    <format dxfId="1874">
      <pivotArea dataOnly="0" grandRow="1" fieldPosition="0"/>
    </format>
    <format dxfId="1873">
      <pivotArea dataOnly="0" grandRow="1" fieldPosition="0"/>
    </format>
    <format dxfId="1872">
      <pivotArea dataOnly="0" labelOnly="1" grandCol="1" outline="0" fieldPosition="0"/>
    </format>
    <format dxfId="1871">
      <pivotArea type="origin" dataOnly="0" labelOnly="1" outline="0" fieldPosition="0"/>
    </format>
    <format dxfId="1870">
      <pivotArea field="8" type="button" dataOnly="0" labelOnly="1" outline="0"/>
    </format>
    <format dxfId="1869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1868">
      <pivotArea field="12" type="button" dataOnly="0" labelOnly="1" outline="0" axis="axisRow" fieldPosition="0"/>
    </format>
    <format dxfId="186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866">
      <pivotArea outline="0" collapsedLevelsAreSubtotals="1" fieldPosition="0"/>
    </format>
    <format dxfId="1865">
      <pivotArea dataOnly="0" labelOnly="1" fieldPosition="0">
        <references count="1">
          <reference field="12" count="0"/>
        </references>
      </pivotArea>
    </format>
    <format dxfId="1864">
      <pivotArea dataOnly="0" labelOnly="1" grandRow="1" outline="0" fieldPosition="0"/>
    </format>
    <format dxfId="1863">
      <pivotArea dataOnly="0" labelOnly="1" fieldPosition="0">
        <references count="1">
          <reference field="26" count="0"/>
        </references>
      </pivotArea>
    </format>
    <format dxfId="1862">
      <pivotArea dataOnly="0" fieldPosition="0">
        <references count="1">
          <reference field="12" count="0"/>
        </references>
      </pivotArea>
    </format>
    <format dxfId="1861">
      <pivotArea outline="0" collapsedLevelsAreSubtotals="1" fieldPosition="0">
        <references count="1">
          <reference field="4294967294" count="2" selected="0">
            <x v="4"/>
            <x v="5"/>
          </reference>
        </references>
      </pivotArea>
    </format>
    <format dxfId="1860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la dinámica10" cacheId="54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N18:Q25" firstHeaderRow="1" firstDataRow="2" firstDataCol="1"/>
  <pivotFields count="120"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axis="axisRow" showAll="0" defaultSubtotal="0">
      <items count="6">
        <item x="4"/>
        <item x="3"/>
        <item x="2"/>
        <item x="1"/>
        <item h="1" x="5"/>
        <item x="0"/>
      </items>
    </pivotField>
    <pivotField numFmtId="4" showAll="0"/>
    <pivotField showAll="0" defaultSubtotal="0"/>
    <pivotField showAll="0"/>
    <pivotField showAll="0">
      <items count="8">
        <item m="1" x="4"/>
        <item m="1" x="6"/>
        <item m="1" x="5"/>
        <item x="3"/>
        <item x="0"/>
        <item x="1"/>
        <item x="2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axis="axisCol" showAll="0">
      <items count="4">
        <item x="0"/>
        <item x="1"/>
        <item x="2"/>
        <item t="default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multipleItemSelectionAllowe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8"/>
  </rowFields>
  <rowItems count="6">
    <i>
      <x/>
    </i>
    <i>
      <x v="1"/>
    </i>
    <i>
      <x v="2"/>
    </i>
    <i>
      <x v="3"/>
    </i>
    <i>
      <x v="5"/>
    </i>
    <i t="grand">
      <x/>
    </i>
  </rowItems>
  <colFields count="1">
    <field x="18"/>
  </colFields>
  <colItems count="3">
    <i>
      <x/>
    </i>
    <i>
      <x v="1"/>
    </i>
    <i t="grand">
      <x/>
    </i>
  </colItems>
  <dataFields count="1">
    <dataField name="Suma de VALOR LIBERACIÓN" fld="21" baseField="7" baseItem="3" numFmtId="166"/>
  </dataFields>
  <formats count="27">
    <format dxfId="1915">
      <pivotArea type="all" dataOnly="0" outline="0" fieldPosition="0"/>
    </format>
    <format dxfId="1914">
      <pivotArea type="all" dataOnly="0" outline="0" fieldPosition="0"/>
    </format>
    <format dxfId="1913">
      <pivotArea outline="0" collapsedLevelsAreSubtotals="1" fieldPosition="0"/>
    </format>
    <format dxfId="1912">
      <pivotArea dataOnly="0" labelOnly="1" grandRow="1" outline="0" fieldPosition="0"/>
    </format>
    <format dxfId="1911">
      <pivotArea grandRow="1" outline="0" collapsedLevelsAreSubtotals="1" fieldPosition="0"/>
    </format>
    <format dxfId="1910">
      <pivotArea dataOnly="0" labelOnly="1" grandRow="1" outline="0" fieldPosition="0"/>
    </format>
    <format dxfId="1909">
      <pivotArea grandRow="1" outline="0" collapsedLevelsAreSubtotals="1" fieldPosition="0"/>
    </format>
    <format dxfId="1908">
      <pivotArea dataOnly="0" labelOnly="1" grandRow="1" outline="0" fieldPosition="0"/>
    </format>
    <format dxfId="1907">
      <pivotArea field="12" type="button" dataOnly="0" labelOnly="1" outline="0"/>
    </format>
    <format dxfId="1906">
      <pivotArea dataOnly="0" labelOnly="1" grandCol="1" outline="0" fieldPosition="0"/>
    </format>
    <format dxfId="1905">
      <pivotArea dataOnly="0" labelOnly="1" grandCol="1" outline="0" fieldPosition="0"/>
    </format>
    <format dxfId="1904">
      <pivotArea dataOnly="0" labelOnly="1" grandCol="1" outline="0" fieldPosition="0"/>
    </format>
    <format dxfId="1903">
      <pivotArea dataOnly="0" labelOnly="1" grandCol="1" outline="0" fieldPosition="0"/>
    </format>
    <format dxfId="1902">
      <pivotArea outline="0" collapsedLevelsAreSubtotals="1" fieldPosition="0"/>
    </format>
    <format dxfId="1901">
      <pivotArea grandRow="1" outline="0" collapsedLevelsAreSubtotals="1" fieldPosition="0"/>
    </format>
    <format dxfId="1900">
      <pivotArea grandRow="1" outline="0" collapsedLevelsAreSubtotals="1" fieldPosition="0"/>
    </format>
    <format dxfId="1899">
      <pivotArea dataOnly="0" grandRow="1" fieldPosition="0"/>
    </format>
    <format dxfId="1898">
      <pivotArea dataOnly="0" grandRow="1" fieldPosition="0"/>
    </format>
    <format dxfId="1897">
      <pivotArea dataOnly="0" labelOnly="1" grandCol="1" outline="0" fieldPosition="0"/>
    </format>
    <format dxfId="1896">
      <pivotArea dataOnly="0" labelOnly="1" fieldPosition="0">
        <references count="1">
          <reference field="18" count="2">
            <x v="0"/>
            <x v="1"/>
          </reference>
        </references>
      </pivotArea>
    </format>
    <format dxfId="1895">
      <pivotArea dataOnly="0" labelOnly="1" fieldPosition="0">
        <references count="1">
          <reference field="18" count="2">
            <x v="0"/>
            <x v="1"/>
          </reference>
        </references>
      </pivotArea>
    </format>
    <format dxfId="1894">
      <pivotArea outline="0" collapsedLevelsAreSubtotals="1" fieldPosition="0"/>
    </format>
    <format dxfId="1893">
      <pivotArea outline="0" collapsedLevelsAreSubtotals="1" fieldPosition="0"/>
    </format>
    <format dxfId="1892">
      <pivotArea dataOnly="0" labelOnly="1" fieldPosition="0">
        <references count="1">
          <reference field="8" count="0"/>
        </references>
      </pivotArea>
    </format>
    <format dxfId="1891">
      <pivotArea dataOnly="0" labelOnly="1" grandRow="1" outline="0" fieldPosition="0"/>
    </format>
    <format dxfId="1890">
      <pivotArea type="origin" dataOnly="0" labelOnly="1" outline="0" fieldPosition="0"/>
    </format>
    <format dxfId="1889">
      <pivotArea field="8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Tabla dinámica7" cacheId="54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N6:Q13" firstHeaderRow="1" firstDataRow="2" firstDataCol="1"/>
  <pivotFields count="120">
    <pivotField showAll="0"/>
    <pivotField showAll="0" defaultSubtotal="0"/>
    <pivotField dataField="1" showAll="0"/>
    <pivotField showAll="0"/>
    <pivotField showAll="0"/>
    <pivotField showAll="0"/>
    <pivotField showAll="0"/>
    <pivotField showAll="0" defaultSubtotal="0"/>
    <pivotField axis="axisRow" showAll="0" defaultSubtotal="0">
      <items count="6">
        <item x="4"/>
        <item x="3"/>
        <item x="2"/>
        <item x="1"/>
        <item x="0"/>
        <item h="1" x="5"/>
      </items>
    </pivotField>
    <pivotField numFmtId="4" showAll="0"/>
    <pivotField showAll="0" defaultSubtotal="0"/>
    <pivotField showAll="0"/>
    <pivotField showAll="0">
      <items count="8">
        <item m="1" x="4"/>
        <item m="1" x="6"/>
        <item m="1" x="5"/>
        <item x="3"/>
        <item x="0"/>
        <item x="1"/>
        <item x="2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axis="axisCol" showAll="0">
      <items count="4">
        <item x="0"/>
        <item x="1"/>
        <item x="2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multipleItemSelectionAllowe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8"/>
  </colFields>
  <colItems count="3">
    <i>
      <x/>
    </i>
    <i>
      <x v="1"/>
    </i>
    <i t="grand">
      <x/>
    </i>
  </colItems>
  <dataFields count="1">
    <dataField name="Cuenta de ID" fld="2" subtotal="count" baseField="0" baseItem="0"/>
  </dataFields>
  <formats count="25">
    <format dxfId="1940">
      <pivotArea type="all" dataOnly="0" outline="0" fieldPosition="0"/>
    </format>
    <format dxfId="1939">
      <pivotArea type="all" dataOnly="0" outline="0" fieldPosition="0"/>
    </format>
    <format dxfId="1938">
      <pivotArea outline="0" collapsedLevelsAreSubtotals="1" fieldPosition="0"/>
    </format>
    <format dxfId="1937">
      <pivotArea dataOnly="0" labelOnly="1" grandRow="1" outline="0" fieldPosition="0"/>
    </format>
    <format dxfId="1936">
      <pivotArea grandRow="1" outline="0" collapsedLevelsAreSubtotals="1" fieldPosition="0"/>
    </format>
    <format dxfId="1935">
      <pivotArea dataOnly="0" labelOnly="1" grandRow="1" outline="0" fieldPosition="0"/>
    </format>
    <format dxfId="1934">
      <pivotArea grandRow="1" outline="0" collapsedLevelsAreSubtotals="1" fieldPosition="0"/>
    </format>
    <format dxfId="1933">
      <pivotArea dataOnly="0" labelOnly="1" grandRow="1" outline="0" fieldPosition="0"/>
    </format>
    <format dxfId="1932">
      <pivotArea field="12" type="button" dataOnly="0" labelOnly="1" outline="0"/>
    </format>
    <format dxfId="1931">
      <pivotArea dataOnly="0" labelOnly="1" grandCol="1" outline="0" fieldPosition="0"/>
    </format>
    <format dxfId="1930">
      <pivotArea dataOnly="0" labelOnly="1" grandCol="1" outline="0" fieldPosition="0"/>
    </format>
    <format dxfId="1929">
      <pivotArea dataOnly="0" labelOnly="1" grandCol="1" outline="0" fieldPosition="0"/>
    </format>
    <format dxfId="1928">
      <pivotArea dataOnly="0" labelOnly="1" grandCol="1" outline="0" fieldPosition="0"/>
    </format>
    <format dxfId="1927">
      <pivotArea grandRow="1" outline="0" collapsedLevelsAreSubtotals="1" fieldPosition="0"/>
    </format>
    <format dxfId="1926">
      <pivotArea grandRow="1" outline="0" collapsedLevelsAreSubtotals="1" fieldPosition="0"/>
    </format>
    <format dxfId="1925">
      <pivotArea dataOnly="0" grandRow="1" fieldPosition="0"/>
    </format>
    <format dxfId="1924">
      <pivotArea dataOnly="0" grandRow="1" fieldPosition="0"/>
    </format>
    <format dxfId="1923">
      <pivotArea dataOnly="0" labelOnly="1" grandCol="1" outline="0" fieldPosition="0"/>
    </format>
    <format dxfId="1922">
      <pivotArea dataOnly="0" labelOnly="1" fieldPosition="0">
        <references count="1">
          <reference field="18" count="2">
            <x v="0"/>
            <x v="1"/>
          </reference>
        </references>
      </pivotArea>
    </format>
    <format dxfId="1921">
      <pivotArea dataOnly="0" labelOnly="1" fieldPosition="0">
        <references count="1">
          <reference field="18" count="2">
            <x v="0"/>
            <x v="1"/>
          </reference>
        </references>
      </pivotArea>
    </format>
    <format dxfId="1920">
      <pivotArea outline="0" collapsedLevelsAreSubtotals="1" fieldPosition="0"/>
    </format>
    <format dxfId="1919">
      <pivotArea dataOnly="0" labelOnly="1" fieldPosition="0">
        <references count="1">
          <reference field="8" count="0"/>
        </references>
      </pivotArea>
    </format>
    <format dxfId="1918">
      <pivotArea dataOnly="0" labelOnly="1" grandRow="1" outline="0" fieldPosition="0"/>
    </format>
    <format dxfId="1917">
      <pivotArea type="origin" dataOnly="0" labelOnly="1" outline="0" fieldPosition="0"/>
    </format>
    <format dxfId="1916">
      <pivotArea field="8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Tabla dinámica9" cacheId="54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D19:L27" firstHeaderRow="1" firstDataRow="2" firstDataCol="1"/>
  <pivotFields count="120"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numFmtId="4" showAll="0"/>
    <pivotField showAll="0" defaultSubtotal="0"/>
    <pivotField showAll="0"/>
    <pivotField showAll="0">
      <items count="8">
        <item m="1" x="4"/>
        <item m="1" x="6"/>
        <item m="1" x="5"/>
        <item x="3"/>
        <item x="0"/>
        <item x="1"/>
        <item x="2"/>
        <item t="default"/>
      </items>
    </pivotField>
    <pivotField dataField="1"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multipleItemSelectionAllowed="1"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10">
        <item x="2"/>
        <item x="6"/>
        <item x="1"/>
        <item x="7"/>
        <item x="8"/>
        <item x="5"/>
        <item h="1" x="9"/>
        <item h="1" x="0"/>
        <item h="1" x="3"/>
        <item h="1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9">
        <item x="4"/>
        <item x="5"/>
        <item x="2"/>
        <item x="7"/>
        <item x="6"/>
        <item x="1"/>
        <item x="3"/>
        <item x="8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5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a de PRECIO" fld="13" baseField="31" baseItem="0" numFmtId="166"/>
  </dataFields>
  <formats count="32">
    <format dxfId="1828">
      <pivotArea type="all" dataOnly="0" outline="0" fieldPosition="0"/>
    </format>
    <format dxfId="1827">
      <pivotArea type="all" dataOnly="0" outline="0" fieldPosition="0"/>
    </format>
    <format dxfId="1826">
      <pivotArea outline="0" collapsedLevelsAreSubtotals="1" fieldPosition="0"/>
    </format>
    <format dxfId="1825">
      <pivotArea dataOnly="0" labelOnly="1" grandRow="1" outline="0" fieldPosition="0"/>
    </format>
    <format dxfId="1824">
      <pivotArea grandRow="1" outline="0" collapsedLevelsAreSubtotals="1" fieldPosition="0"/>
    </format>
    <format dxfId="1823">
      <pivotArea dataOnly="0" labelOnly="1" grandRow="1" outline="0" fieldPosition="0"/>
    </format>
    <format dxfId="1822">
      <pivotArea grandRow="1" outline="0" collapsedLevelsAreSubtotals="1" fieldPosition="0"/>
    </format>
    <format dxfId="1821">
      <pivotArea dataOnly="0" labelOnly="1" grandRow="1" outline="0" fieldPosition="0"/>
    </format>
    <format dxfId="1820">
      <pivotArea field="12" type="button" dataOnly="0" labelOnly="1" outline="0"/>
    </format>
    <format dxfId="1819">
      <pivotArea dataOnly="0" labelOnly="1" grandCol="1" outline="0" fieldPosition="0"/>
    </format>
    <format dxfId="1818">
      <pivotArea dataOnly="0" labelOnly="1" grandCol="1" outline="0" fieldPosition="0"/>
    </format>
    <format dxfId="1817">
      <pivotArea dataOnly="0" labelOnly="1" grandCol="1" outline="0" fieldPosition="0"/>
    </format>
    <format dxfId="1816">
      <pivotArea dataOnly="0" labelOnly="1" grandCol="1" outline="0" fieldPosition="0"/>
    </format>
    <format dxfId="1815">
      <pivotArea grandRow="1" outline="0" collapsedLevelsAreSubtotals="1" fieldPosition="0"/>
    </format>
    <format dxfId="1814">
      <pivotArea grandRow="1" outline="0" collapsedLevelsAreSubtotals="1" fieldPosition="0"/>
    </format>
    <format dxfId="1813">
      <pivotArea dataOnly="0" grandRow="1" fieldPosition="0"/>
    </format>
    <format dxfId="1812">
      <pivotArea dataOnly="0" grandRow="1" fieldPosition="0"/>
    </format>
    <format dxfId="1811">
      <pivotArea dataOnly="0" labelOnly="1" grandCol="1" outline="0" fieldPosition="0"/>
    </format>
    <format dxfId="1810">
      <pivotArea outline="0" collapsedLevelsAreSubtotals="1" fieldPosition="0"/>
    </format>
    <format dxfId="1809">
      <pivotArea dataOnly="0" labelOnly="1" fieldPosition="0">
        <references count="1">
          <reference field="52" count="0"/>
        </references>
      </pivotArea>
    </format>
    <format dxfId="1808">
      <pivotArea dataOnly="0" labelOnly="1" grandRow="1" outline="0" fieldPosition="0"/>
    </format>
    <format dxfId="1807">
      <pivotArea dataOnly="0" labelOnly="1" fieldPosition="0">
        <references count="1">
          <reference field="83" count="7">
            <x v="0"/>
            <x v="1"/>
            <x v="2"/>
            <x v="3"/>
            <x v="4"/>
            <x v="5"/>
            <x v="6"/>
          </reference>
        </references>
      </pivotArea>
    </format>
    <format dxfId="1806">
      <pivotArea dataOnly="0" labelOnly="1" grandCol="1" outline="0" fieldPosition="0"/>
    </format>
    <format dxfId="1805">
      <pivotArea dataOnly="0" labelOnly="1" fieldPosition="0">
        <references count="1">
          <reference field="83" count="7">
            <x v="0"/>
            <x v="1"/>
            <x v="2"/>
            <x v="3"/>
            <x v="4"/>
            <x v="5"/>
            <x v="6"/>
          </reference>
        </references>
      </pivotArea>
    </format>
    <format dxfId="1804">
      <pivotArea dataOnly="0" labelOnly="1" grandCol="1" outline="0" fieldPosition="0"/>
    </format>
    <format dxfId="1803">
      <pivotArea dataOnly="0" labelOnly="1" fieldPosition="0">
        <references count="1">
          <reference field="83" count="7">
            <x v="0"/>
            <x v="1"/>
            <x v="2"/>
            <x v="3"/>
            <x v="4"/>
            <x v="5"/>
            <x v="6"/>
          </reference>
        </references>
      </pivotArea>
    </format>
    <format dxfId="1802">
      <pivotArea dataOnly="0" labelOnly="1" grandCol="1" outline="0" fieldPosition="0"/>
    </format>
    <format dxfId="1801">
      <pivotArea outline="0" collapsedLevelsAreSubtotals="1" fieldPosition="0"/>
    </format>
    <format dxfId="1800">
      <pivotArea dataOnly="0" labelOnly="1" fieldPosition="0">
        <references count="1">
          <reference field="83" count="7">
            <x v="0"/>
            <x v="1"/>
            <x v="2"/>
            <x v="3"/>
            <x v="4"/>
            <x v="5"/>
            <x v="6"/>
          </reference>
        </references>
      </pivotArea>
    </format>
    <format dxfId="1799">
      <pivotArea dataOnly="0" labelOnly="1" grandCol="1" outline="0" fieldPosition="0"/>
    </format>
    <format dxfId="1798">
      <pivotArea type="origin" dataOnly="0" labelOnly="1" outline="0" fieldPosition="0"/>
    </format>
    <format dxfId="1797">
      <pivotArea field="52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Tabla dinámica8" cacheId="54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D7:L15" firstHeaderRow="1" firstDataRow="2" firstDataCol="1"/>
  <pivotFields count="120">
    <pivotField showAll="0"/>
    <pivotField showAll="0" defaultSubtotal="0"/>
    <pivotField dataField="1" showAll="0"/>
    <pivotField showAll="0"/>
    <pivotField showAll="0"/>
    <pivotField showAll="0"/>
    <pivotField showAll="0"/>
    <pivotField showAll="0" defaultSubtotal="0"/>
    <pivotField showAll="0" defaultSubtotal="0"/>
    <pivotField numFmtId="4" showAll="0"/>
    <pivotField showAll="0" defaultSubtotal="0"/>
    <pivotField showAll="0"/>
    <pivotField showAll="0">
      <items count="8">
        <item m="1" x="4"/>
        <item m="1" x="6"/>
        <item m="1" x="5"/>
        <item x="3"/>
        <item x="0"/>
        <item x="1"/>
        <item x="2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multipleItemSelectionAllowed="1"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10">
        <item x="2"/>
        <item x="6"/>
        <item x="1"/>
        <item x="7"/>
        <item x="8"/>
        <item x="5"/>
        <item h="1" x="9"/>
        <item h="1" x="0"/>
        <item h="1" x="3"/>
        <item h="1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9">
        <item x="4"/>
        <item x="5"/>
        <item x="2"/>
        <item x="7"/>
        <item x="6"/>
        <item x="1"/>
        <item x="3"/>
        <item x="8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5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uenta de ID" fld="2" subtotal="count" baseField="0" baseItem="0"/>
  </dataFields>
  <formats count="31">
    <format dxfId="1859">
      <pivotArea type="all" dataOnly="0" outline="0" fieldPosition="0"/>
    </format>
    <format dxfId="1858">
      <pivotArea type="all" dataOnly="0" outline="0" fieldPosition="0"/>
    </format>
    <format dxfId="1857">
      <pivotArea outline="0" collapsedLevelsAreSubtotals="1" fieldPosition="0"/>
    </format>
    <format dxfId="1856">
      <pivotArea dataOnly="0" labelOnly="1" grandRow="1" outline="0" fieldPosition="0"/>
    </format>
    <format dxfId="1855">
      <pivotArea grandRow="1" outline="0" collapsedLevelsAreSubtotals="1" fieldPosition="0"/>
    </format>
    <format dxfId="1854">
      <pivotArea dataOnly="0" labelOnly="1" grandRow="1" outline="0" fieldPosition="0"/>
    </format>
    <format dxfId="1853">
      <pivotArea grandRow="1" outline="0" collapsedLevelsAreSubtotals="1" fieldPosition="0"/>
    </format>
    <format dxfId="1852">
      <pivotArea dataOnly="0" labelOnly="1" grandRow="1" outline="0" fieldPosition="0"/>
    </format>
    <format dxfId="1851">
      <pivotArea field="12" type="button" dataOnly="0" labelOnly="1" outline="0"/>
    </format>
    <format dxfId="1850">
      <pivotArea dataOnly="0" labelOnly="1" grandCol="1" outline="0" fieldPosition="0"/>
    </format>
    <format dxfId="1849">
      <pivotArea dataOnly="0" labelOnly="1" grandCol="1" outline="0" fieldPosition="0"/>
    </format>
    <format dxfId="1848">
      <pivotArea dataOnly="0" labelOnly="1" grandCol="1" outline="0" fieldPosition="0"/>
    </format>
    <format dxfId="1847">
      <pivotArea dataOnly="0" labelOnly="1" grandCol="1" outline="0" fieldPosition="0"/>
    </format>
    <format dxfId="1846">
      <pivotArea grandRow="1" outline="0" collapsedLevelsAreSubtotals="1" fieldPosition="0"/>
    </format>
    <format dxfId="1845">
      <pivotArea grandRow="1" outline="0" collapsedLevelsAreSubtotals="1" fieldPosition="0"/>
    </format>
    <format dxfId="1844">
      <pivotArea dataOnly="0" grandRow="1" fieldPosition="0"/>
    </format>
    <format dxfId="1843">
      <pivotArea dataOnly="0" grandRow="1" fieldPosition="0"/>
    </format>
    <format dxfId="1842">
      <pivotArea dataOnly="0" labelOnly="1" grandCol="1" outline="0" fieldPosition="0"/>
    </format>
    <format dxfId="1841">
      <pivotArea outline="0" collapsedLevelsAreSubtotals="1" fieldPosition="0"/>
    </format>
    <format dxfId="1840">
      <pivotArea dataOnly="0" labelOnly="1" fieldPosition="0">
        <references count="1">
          <reference field="52" count="0"/>
        </references>
      </pivotArea>
    </format>
    <format dxfId="1839">
      <pivotArea dataOnly="0" labelOnly="1" grandRow="1" outline="0" fieldPosition="0"/>
    </format>
    <format dxfId="1838">
      <pivotArea dataOnly="0" labelOnly="1" fieldPosition="0">
        <references count="1">
          <reference field="83" count="7">
            <x v="0"/>
            <x v="1"/>
            <x v="2"/>
            <x v="3"/>
            <x v="4"/>
            <x v="5"/>
            <x v="6"/>
          </reference>
        </references>
      </pivotArea>
    </format>
    <format dxfId="1837">
      <pivotArea dataOnly="0" labelOnly="1" grandCol="1" outline="0" fieldPosition="0"/>
    </format>
    <format dxfId="1836">
      <pivotArea dataOnly="0" labelOnly="1" fieldPosition="0">
        <references count="1">
          <reference field="83" count="7">
            <x v="0"/>
            <x v="1"/>
            <x v="2"/>
            <x v="3"/>
            <x v="4"/>
            <x v="5"/>
            <x v="6"/>
          </reference>
        </references>
      </pivotArea>
    </format>
    <format dxfId="1835">
      <pivotArea dataOnly="0" labelOnly="1" grandCol="1" outline="0" fieldPosition="0"/>
    </format>
    <format dxfId="1834">
      <pivotArea dataOnly="0" labelOnly="1" fieldPosition="0">
        <references count="1">
          <reference field="83" count="7">
            <x v="0"/>
            <x v="1"/>
            <x v="2"/>
            <x v="3"/>
            <x v="4"/>
            <x v="5"/>
            <x v="6"/>
          </reference>
        </references>
      </pivotArea>
    </format>
    <format dxfId="1833">
      <pivotArea dataOnly="0" labelOnly="1" grandCol="1" outline="0" fieldPosition="0"/>
    </format>
    <format dxfId="1832">
      <pivotArea dataOnly="0" labelOnly="1" fieldPosition="0">
        <references count="1">
          <reference field="83" count="7">
            <x v="0"/>
            <x v="1"/>
            <x v="2"/>
            <x v="3"/>
            <x v="4"/>
            <x v="5"/>
            <x v="6"/>
          </reference>
        </references>
      </pivotArea>
    </format>
    <format dxfId="1831">
      <pivotArea dataOnly="0" labelOnly="1" grandCol="1" outline="0" fieldPosition="0"/>
    </format>
    <format dxfId="1830">
      <pivotArea type="origin" dataOnly="0" labelOnly="1" outline="0" fieldPosition="0"/>
    </format>
    <format dxfId="1829">
      <pivotArea field="52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Tabla dinámica20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P59:Q62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9"/>
  </rowFields>
  <rowItems count="2">
    <i>
      <x/>
    </i>
    <i t="grand">
      <x/>
    </i>
  </rowItems>
  <colItems count="1">
    <i/>
  </colItems>
  <pageFields count="2">
    <pageField fld="52" hier="-1"/>
    <pageField fld="106" hier="-1"/>
  </pageFields>
  <dataFields count="1">
    <dataField name="Suma de ENGANCHE 7" fld="96" baseField="100" baseItem="0"/>
  </dataFields>
  <formats count="24">
    <format dxfId="380">
      <pivotArea type="all" dataOnly="0" outline="0" fieldPosition="0"/>
    </format>
    <format dxfId="379">
      <pivotArea type="all" dataOnly="0" outline="0" fieldPosition="0"/>
    </format>
    <format dxfId="378">
      <pivotArea outline="0" collapsedLevelsAreSubtotals="1" fieldPosition="0"/>
    </format>
    <format dxfId="377">
      <pivotArea dataOnly="0" labelOnly="1" grandRow="1" outline="0" fieldPosition="0"/>
    </format>
    <format dxfId="376">
      <pivotArea grandRow="1" outline="0" collapsedLevelsAreSubtotals="1" fieldPosition="0"/>
    </format>
    <format dxfId="375">
      <pivotArea dataOnly="0" labelOnly="1" grandRow="1" outline="0" fieldPosition="0"/>
    </format>
    <format dxfId="374">
      <pivotArea grandRow="1" outline="0" collapsedLevelsAreSubtotals="1" fieldPosition="0"/>
    </format>
    <format dxfId="373">
      <pivotArea dataOnly="0" labelOnly="1" grandRow="1" outline="0" fieldPosition="0"/>
    </format>
    <format dxfId="372">
      <pivotArea field="12" type="button" dataOnly="0" labelOnly="1" outline="0"/>
    </format>
    <format dxfId="371">
      <pivotArea dataOnly="0" labelOnly="1" grandCol="1" outline="0" fieldPosition="0"/>
    </format>
    <format dxfId="370">
      <pivotArea dataOnly="0" labelOnly="1" grandCol="1" outline="0" fieldPosition="0"/>
    </format>
    <format dxfId="369">
      <pivotArea dataOnly="0" labelOnly="1" grandCol="1" outline="0" fieldPosition="0"/>
    </format>
    <format dxfId="368">
      <pivotArea dataOnly="0" labelOnly="1" grandCol="1" outline="0" fieldPosition="0"/>
    </format>
    <format dxfId="367">
      <pivotArea grandRow="1" outline="0" collapsedLevelsAreSubtotals="1" fieldPosition="0"/>
    </format>
    <format dxfId="366">
      <pivotArea grandRow="1" outline="0" collapsedLevelsAreSubtotals="1" fieldPosition="0"/>
    </format>
    <format dxfId="365">
      <pivotArea dataOnly="0" grandRow="1" fieldPosition="0"/>
    </format>
    <format dxfId="364">
      <pivotArea dataOnly="0" grandRow="1" fieldPosition="0"/>
    </format>
    <format dxfId="363">
      <pivotArea dataOnly="0" labelOnly="1" grandCol="1" outline="0" fieldPosition="0"/>
    </format>
    <format dxfId="362">
      <pivotArea outline="0" collapsedLevelsAreSubtotals="1" fieldPosition="0"/>
    </format>
    <format dxfId="361">
      <pivotArea dataOnly="0" labelOnly="1" fieldPosition="0">
        <references count="1">
          <reference field="52" count="0"/>
        </references>
      </pivotArea>
    </format>
    <format dxfId="360">
      <pivotArea dataOnly="0" labelOnly="1" grandRow="1" outline="0" fieldPosition="0"/>
    </format>
    <format dxfId="359">
      <pivotArea dataOnly="0" labelOnly="1" grandCol="1" outline="0" fieldPosition="0"/>
    </format>
    <format dxfId="358">
      <pivotArea dataOnly="0" labelOnly="1" grandCol="1" outline="0" fieldPosition="0"/>
    </format>
    <format dxfId="35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Tabla dinámica56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V116:W119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42"/>
  </rowFields>
  <rowItems count="2">
    <i>
      <x/>
    </i>
    <i t="grand">
      <x/>
    </i>
  </rowItems>
  <colItems count="1">
    <i/>
  </colItems>
  <pageFields count="2">
    <pageField fld="52" hier="-1"/>
    <pageField fld="109" hier="-1"/>
  </pageFields>
  <dataFields count="1">
    <dataField name="Cuenta de ENGANCHE 10" fld="99" subtotal="count" baseField="103" baseItem="0"/>
  </dataFields>
  <formats count="24">
    <format dxfId="404">
      <pivotArea type="all" dataOnly="0" outline="0" fieldPosition="0"/>
    </format>
    <format dxfId="403">
      <pivotArea type="all" dataOnly="0" outline="0" fieldPosition="0"/>
    </format>
    <format dxfId="402">
      <pivotArea outline="0" collapsedLevelsAreSubtotals="1" fieldPosition="0"/>
    </format>
    <format dxfId="401">
      <pivotArea dataOnly="0" labelOnly="1" grandRow="1" outline="0" fieldPosition="0"/>
    </format>
    <format dxfId="400">
      <pivotArea grandRow="1" outline="0" collapsedLevelsAreSubtotals="1" fieldPosition="0"/>
    </format>
    <format dxfId="399">
      <pivotArea dataOnly="0" labelOnly="1" grandRow="1" outline="0" fieldPosition="0"/>
    </format>
    <format dxfId="398">
      <pivotArea grandRow="1" outline="0" collapsedLevelsAreSubtotals="1" fieldPosition="0"/>
    </format>
    <format dxfId="397">
      <pivotArea dataOnly="0" labelOnly="1" grandRow="1" outline="0" fieldPosition="0"/>
    </format>
    <format dxfId="396">
      <pivotArea field="12" type="button" dataOnly="0" labelOnly="1" outline="0"/>
    </format>
    <format dxfId="395">
      <pivotArea dataOnly="0" labelOnly="1" grandCol="1" outline="0" fieldPosition="0"/>
    </format>
    <format dxfId="394">
      <pivotArea dataOnly="0" labelOnly="1" grandCol="1" outline="0" fieldPosition="0"/>
    </format>
    <format dxfId="393">
      <pivotArea dataOnly="0" labelOnly="1" grandCol="1" outline="0" fieldPosition="0"/>
    </format>
    <format dxfId="392">
      <pivotArea dataOnly="0" labelOnly="1" grandCol="1" outline="0" fieldPosition="0"/>
    </format>
    <format dxfId="391">
      <pivotArea grandRow="1" outline="0" collapsedLevelsAreSubtotals="1" fieldPosition="0"/>
    </format>
    <format dxfId="390">
      <pivotArea grandRow="1" outline="0" collapsedLevelsAreSubtotals="1" fieldPosition="0"/>
    </format>
    <format dxfId="389">
      <pivotArea dataOnly="0" grandRow="1" fieldPosition="0"/>
    </format>
    <format dxfId="388">
      <pivotArea dataOnly="0" grandRow="1" fieldPosition="0"/>
    </format>
    <format dxfId="387">
      <pivotArea dataOnly="0" labelOnly="1" grandCol="1" outline="0" fieldPosition="0"/>
    </format>
    <format dxfId="386">
      <pivotArea outline="0" collapsedLevelsAreSubtotals="1" fieldPosition="0"/>
    </format>
    <format dxfId="385">
      <pivotArea dataOnly="0" labelOnly="1" fieldPosition="0">
        <references count="1">
          <reference field="52" count="0"/>
        </references>
      </pivotArea>
    </format>
    <format dxfId="384">
      <pivotArea dataOnly="0" labelOnly="1" grandRow="1" outline="0" fieldPosition="0"/>
    </format>
    <format dxfId="383">
      <pivotArea dataOnly="0" labelOnly="1" grandCol="1" outline="0" fieldPosition="0"/>
    </format>
    <format dxfId="382">
      <pivotArea dataOnly="0" labelOnly="1" grandCol="1" outline="0" fieldPosition="0"/>
    </format>
    <format dxfId="38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Tabla dinámica44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H135:I138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">
        <item x="1"/>
        <item x="2"/>
        <item x="0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5"/>
  </rowFields>
  <rowItems count="2">
    <i>
      <x v="1"/>
    </i>
    <i t="grand">
      <x/>
    </i>
  </rowItems>
  <colItems count="1">
    <i/>
  </colItems>
  <pageFields count="2">
    <pageField fld="52" hier="-1"/>
    <pageField fld="102" item="0" hier="-1"/>
  </pageFields>
  <dataFields count="1">
    <dataField name="Cuenta de ENGANCHE 3" fld="92" subtotal="count" baseField="96" baseItem="0"/>
  </dataFields>
  <formats count="24">
    <format dxfId="428">
      <pivotArea type="all" dataOnly="0" outline="0" fieldPosition="0"/>
    </format>
    <format dxfId="427">
      <pivotArea type="all" dataOnly="0" outline="0" fieldPosition="0"/>
    </format>
    <format dxfId="426">
      <pivotArea outline="0" collapsedLevelsAreSubtotals="1" fieldPosition="0"/>
    </format>
    <format dxfId="425">
      <pivotArea dataOnly="0" labelOnly="1" grandRow="1" outline="0" fieldPosition="0"/>
    </format>
    <format dxfId="424">
      <pivotArea grandRow="1" outline="0" collapsedLevelsAreSubtotals="1" fieldPosition="0"/>
    </format>
    <format dxfId="423">
      <pivotArea dataOnly="0" labelOnly="1" grandRow="1" outline="0" fieldPosition="0"/>
    </format>
    <format dxfId="422">
      <pivotArea grandRow="1" outline="0" collapsedLevelsAreSubtotals="1" fieldPosition="0"/>
    </format>
    <format dxfId="421">
      <pivotArea dataOnly="0" labelOnly="1" grandRow="1" outline="0" fieldPosition="0"/>
    </format>
    <format dxfId="420">
      <pivotArea field="12" type="button" dataOnly="0" labelOnly="1" outline="0"/>
    </format>
    <format dxfId="419">
      <pivotArea dataOnly="0" labelOnly="1" grandCol="1" outline="0" fieldPosition="0"/>
    </format>
    <format dxfId="418">
      <pivotArea dataOnly="0" labelOnly="1" grandCol="1" outline="0" fieldPosition="0"/>
    </format>
    <format dxfId="417">
      <pivotArea dataOnly="0" labelOnly="1" grandCol="1" outline="0" fieldPosition="0"/>
    </format>
    <format dxfId="416">
      <pivotArea dataOnly="0" labelOnly="1" grandCol="1" outline="0" fieldPosition="0"/>
    </format>
    <format dxfId="415">
      <pivotArea grandRow="1" outline="0" collapsedLevelsAreSubtotals="1" fieldPosition="0"/>
    </format>
    <format dxfId="414">
      <pivotArea grandRow="1" outline="0" collapsedLevelsAreSubtotals="1" fieldPosition="0"/>
    </format>
    <format dxfId="413">
      <pivotArea dataOnly="0" grandRow="1" fieldPosition="0"/>
    </format>
    <format dxfId="412">
      <pivotArea dataOnly="0" grandRow="1" fieldPosition="0"/>
    </format>
    <format dxfId="411">
      <pivotArea dataOnly="0" labelOnly="1" grandCol="1" outline="0" fieldPosition="0"/>
    </format>
    <format dxfId="410">
      <pivotArea outline="0" collapsedLevelsAreSubtotals="1" fieldPosition="0"/>
    </format>
    <format dxfId="409">
      <pivotArea dataOnly="0" labelOnly="1" fieldPosition="0">
        <references count="1">
          <reference field="52" count="0"/>
        </references>
      </pivotArea>
    </format>
    <format dxfId="408">
      <pivotArea dataOnly="0" labelOnly="1" grandRow="1" outline="0" fieldPosition="0"/>
    </format>
    <format dxfId="407">
      <pivotArea dataOnly="0" labelOnly="1" grandCol="1" outline="0" fieldPosition="0"/>
    </format>
    <format dxfId="406">
      <pivotArea dataOnly="0" labelOnly="1" grandCol="1" outline="0" fieldPosition="0"/>
    </format>
    <format dxfId="40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Tabla dinámica16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V35:W38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42"/>
  </rowFields>
  <rowItems count="2">
    <i>
      <x/>
    </i>
    <i t="grand">
      <x/>
    </i>
  </rowItems>
  <colItems count="1">
    <i/>
  </colItems>
  <pageFields count="2">
    <pageField fld="52" hier="-1"/>
    <pageField fld="109" hier="-1"/>
  </pageFields>
  <dataFields count="1">
    <dataField name="Suma de ENGANCHE 10" fld="99" baseField="103" baseItem="0"/>
  </dataFields>
  <formats count="24">
    <format dxfId="452">
      <pivotArea type="all" dataOnly="0" outline="0" fieldPosition="0"/>
    </format>
    <format dxfId="451">
      <pivotArea type="all" dataOnly="0" outline="0" fieldPosition="0"/>
    </format>
    <format dxfId="450">
      <pivotArea outline="0" collapsedLevelsAreSubtotals="1" fieldPosition="0"/>
    </format>
    <format dxfId="449">
      <pivotArea dataOnly="0" labelOnly="1" grandRow="1" outline="0" fieldPosition="0"/>
    </format>
    <format dxfId="448">
      <pivotArea grandRow="1" outline="0" collapsedLevelsAreSubtotals="1" fieldPosition="0"/>
    </format>
    <format dxfId="447">
      <pivotArea dataOnly="0" labelOnly="1" grandRow="1" outline="0" fieldPosition="0"/>
    </format>
    <format dxfId="446">
      <pivotArea grandRow="1" outline="0" collapsedLevelsAreSubtotals="1" fieldPosition="0"/>
    </format>
    <format dxfId="445">
      <pivotArea dataOnly="0" labelOnly="1" grandRow="1" outline="0" fieldPosition="0"/>
    </format>
    <format dxfId="444">
      <pivotArea field="12" type="button" dataOnly="0" labelOnly="1" outline="0"/>
    </format>
    <format dxfId="443">
      <pivotArea dataOnly="0" labelOnly="1" grandCol="1" outline="0" fieldPosition="0"/>
    </format>
    <format dxfId="442">
      <pivotArea dataOnly="0" labelOnly="1" grandCol="1" outline="0" fieldPosition="0"/>
    </format>
    <format dxfId="441">
      <pivotArea dataOnly="0" labelOnly="1" grandCol="1" outline="0" fieldPosition="0"/>
    </format>
    <format dxfId="440">
      <pivotArea dataOnly="0" labelOnly="1" grandCol="1" outline="0" fieldPosition="0"/>
    </format>
    <format dxfId="439">
      <pivotArea grandRow="1" outline="0" collapsedLevelsAreSubtotals="1" fieldPosition="0"/>
    </format>
    <format dxfId="438">
      <pivotArea grandRow="1" outline="0" collapsedLevelsAreSubtotals="1" fieldPosition="0"/>
    </format>
    <format dxfId="437">
      <pivotArea dataOnly="0" grandRow="1" fieldPosition="0"/>
    </format>
    <format dxfId="436">
      <pivotArea dataOnly="0" grandRow="1" fieldPosition="0"/>
    </format>
    <format dxfId="435">
      <pivotArea dataOnly="0" labelOnly="1" grandCol="1" outline="0" fieldPosition="0"/>
    </format>
    <format dxfId="434">
      <pivotArea outline="0" collapsedLevelsAreSubtotals="1" fieldPosition="0"/>
    </format>
    <format dxfId="433">
      <pivotArea dataOnly="0" labelOnly="1" fieldPosition="0">
        <references count="1">
          <reference field="52" count="0"/>
        </references>
      </pivotArea>
    </format>
    <format dxfId="432">
      <pivotArea dataOnly="0" labelOnly="1" grandRow="1" outline="0" fieldPosition="0"/>
    </format>
    <format dxfId="431">
      <pivotArea dataOnly="0" labelOnly="1" grandCol="1" outline="0" fieldPosition="0"/>
    </format>
    <format dxfId="430">
      <pivotArea dataOnly="0" labelOnly="1" grandCol="1" outline="0" fieldPosition="0"/>
    </format>
    <format dxfId="42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Tabla dinámica33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P78:Q81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9"/>
  </rowFields>
  <rowItems count="2">
    <i>
      <x/>
    </i>
    <i t="grand">
      <x/>
    </i>
  </rowItems>
  <colItems count="1">
    <i/>
  </colItems>
  <pageFields count="2">
    <pageField fld="52" hier="-1"/>
    <pageField fld="106" hier="-1"/>
  </pageFields>
  <dataFields count="1">
    <dataField name="Suma de ENGANCHE 7" fld="96" baseField="100" baseItem="0"/>
  </dataFields>
  <formats count="24">
    <format dxfId="476">
      <pivotArea type="all" dataOnly="0" outline="0" fieldPosition="0"/>
    </format>
    <format dxfId="475">
      <pivotArea type="all" dataOnly="0" outline="0" fieldPosition="0"/>
    </format>
    <format dxfId="474">
      <pivotArea outline="0" collapsedLevelsAreSubtotals="1" fieldPosition="0"/>
    </format>
    <format dxfId="473">
      <pivotArea dataOnly="0" labelOnly="1" grandRow="1" outline="0" fieldPosition="0"/>
    </format>
    <format dxfId="472">
      <pivotArea grandRow="1" outline="0" collapsedLevelsAreSubtotals="1" fieldPosition="0"/>
    </format>
    <format dxfId="471">
      <pivotArea dataOnly="0" labelOnly="1" grandRow="1" outline="0" fieldPosition="0"/>
    </format>
    <format dxfId="470">
      <pivotArea grandRow="1" outline="0" collapsedLevelsAreSubtotals="1" fieldPosition="0"/>
    </format>
    <format dxfId="469">
      <pivotArea dataOnly="0" labelOnly="1" grandRow="1" outline="0" fieldPosition="0"/>
    </format>
    <format dxfId="468">
      <pivotArea field="12" type="button" dataOnly="0" labelOnly="1" outline="0"/>
    </format>
    <format dxfId="467">
      <pivotArea dataOnly="0" labelOnly="1" grandCol="1" outline="0" fieldPosition="0"/>
    </format>
    <format dxfId="466">
      <pivotArea dataOnly="0" labelOnly="1" grandCol="1" outline="0" fieldPosition="0"/>
    </format>
    <format dxfId="465">
      <pivotArea dataOnly="0" labelOnly="1" grandCol="1" outline="0" fieldPosition="0"/>
    </format>
    <format dxfId="464">
      <pivotArea dataOnly="0" labelOnly="1" grandCol="1" outline="0" fieldPosition="0"/>
    </format>
    <format dxfId="463">
      <pivotArea grandRow="1" outline="0" collapsedLevelsAreSubtotals="1" fieldPosition="0"/>
    </format>
    <format dxfId="462">
      <pivotArea grandRow="1" outline="0" collapsedLevelsAreSubtotals="1" fieldPosition="0"/>
    </format>
    <format dxfId="461">
      <pivotArea dataOnly="0" grandRow="1" fieldPosition="0"/>
    </format>
    <format dxfId="460">
      <pivotArea dataOnly="0" grandRow="1" fieldPosition="0"/>
    </format>
    <format dxfId="459">
      <pivotArea dataOnly="0" labelOnly="1" grandCol="1" outline="0" fieldPosition="0"/>
    </format>
    <format dxfId="458">
      <pivotArea outline="0" collapsedLevelsAreSubtotals="1" fieldPosition="0"/>
    </format>
    <format dxfId="457">
      <pivotArea dataOnly="0" labelOnly="1" fieldPosition="0">
        <references count="1">
          <reference field="52" count="0"/>
        </references>
      </pivotArea>
    </format>
    <format dxfId="456">
      <pivotArea dataOnly="0" labelOnly="1" grandRow="1" outline="0" fieldPosition="0"/>
    </format>
    <format dxfId="455">
      <pivotArea dataOnly="0" labelOnly="1" grandCol="1" outline="0" fieldPosition="0"/>
    </format>
    <format dxfId="454">
      <pivotArea dataOnly="0" labelOnly="1" grandCol="1" outline="0" fieldPosition="0"/>
    </format>
    <format dxfId="45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Tabla dinámica55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T116:U119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41"/>
  </rowFields>
  <rowItems count="2">
    <i>
      <x/>
    </i>
    <i t="grand">
      <x/>
    </i>
  </rowItems>
  <colItems count="1">
    <i/>
  </colItems>
  <pageFields count="2">
    <pageField fld="52" hier="-1"/>
    <pageField fld="108" hier="-1"/>
  </pageFields>
  <dataFields count="1">
    <dataField name="Cuenta de ENGANCHE 9" fld="98" subtotal="count" baseField="102" baseItem="0"/>
  </dataFields>
  <formats count="24">
    <format dxfId="500">
      <pivotArea type="all" dataOnly="0" outline="0" fieldPosition="0"/>
    </format>
    <format dxfId="499">
      <pivotArea type="all" dataOnly="0" outline="0" fieldPosition="0"/>
    </format>
    <format dxfId="498">
      <pivotArea outline="0" collapsedLevelsAreSubtotals="1" fieldPosition="0"/>
    </format>
    <format dxfId="497">
      <pivotArea dataOnly="0" labelOnly="1" grandRow="1" outline="0" fieldPosition="0"/>
    </format>
    <format dxfId="496">
      <pivotArea grandRow="1" outline="0" collapsedLevelsAreSubtotals="1" fieldPosition="0"/>
    </format>
    <format dxfId="495">
      <pivotArea dataOnly="0" labelOnly="1" grandRow="1" outline="0" fieldPosition="0"/>
    </format>
    <format dxfId="494">
      <pivotArea grandRow="1" outline="0" collapsedLevelsAreSubtotals="1" fieldPosition="0"/>
    </format>
    <format dxfId="493">
      <pivotArea dataOnly="0" labelOnly="1" grandRow="1" outline="0" fieldPosition="0"/>
    </format>
    <format dxfId="492">
      <pivotArea field="12" type="button" dataOnly="0" labelOnly="1" outline="0"/>
    </format>
    <format dxfId="491">
      <pivotArea dataOnly="0" labelOnly="1" grandCol="1" outline="0" fieldPosition="0"/>
    </format>
    <format dxfId="490">
      <pivotArea dataOnly="0" labelOnly="1" grandCol="1" outline="0" fieldPosition="0"/>
    </format>
    <format dxfId="489">
      <pivotArea dataOnly="0" labelOnly="1" grandCol="1" outline="0" fieldPosition="0"/>
    </format>
    <format dxfId="488">
      <pivotArea dataOnly="0" labelOnly="1" grandCol="1" outline="0" fieldPosition="0"/>
    </format>
    <format dxfId="487">
      <pivotArea grandRow="1" outline="0" collapsedLevelsAreSubtotals="1" fieldPosition="0"/>
    </format>
    <format dxfId="486">
      <pivotArea grandRow="1" outline="0" collapsedLevelsAreSubtotals="1" fieldPosition="0"/>
    </format>
    <format dxfId="485">
      <pivotArea dataOnly="0" grandRow="1" fieldPosition="0"/>
    </format>
    <format dxfId="484">
      <pivotArea dataOnly="0" grandRow="1" fieldPosition="0"/>
    </format>
    <format dxfId="483">
      <pivotArea dataOnly="0" labelOnly="1" grandCol="1" outline="0" fieldPosition="0"/>
    </format>
    <format dxfId="482">
      <pivotArea outline="0" collapsedLevelsAreSubtotals="1" fieldPosition="0"/>
    </format>
    <format dxfId="481">
      <pivotArea dataOnly="0" labelOnly="1" fieldPosition="0">
        <references count="1">
          <reference field="52" count="0"/>
        </references>
      </pivotArea>
    </format>
    <format dxfId="480">
      <pivotArea dataOnly="0" labelOnly="1" grandRow="1" outline="0" fieldPosition="0"/>
    </format>
    <format dxfId="479">
      <pivotArea dataOnly="0" labelOnly="1" grandCol="1" outline="0" fieldPosition="0"/>
    </format>
    <format dxfId="478">
      <pivotArea dataOnly="0" labelOnly="1" grandCol="1" outline="0" fieldPosition="0"/>
    </format>
    <format dxfId="47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Tabla dinámica28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F78:G83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4">
        <item x="1"/>
        <item x="2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4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52" hier="-1"/>
    <pageField fld="101" item="0" hier="-1"/>
  </pageFields>
  <dataFields count="1">
    <dataField name="Suma de ENGANCHE 2" fld="91" baseField="95" baseItem="3"/>
  </dataFields>
  <formats count="24">
    <format dxfId="524">
      <pivotArea type="all" dataOnly="0" outline="0" fieldPosition="0"/>
    </format>
    <format dxfId="523">
      <pivotArea type="all" dataOnly="0" outline="0" fieldPosition="0"/>
    </format>
    <format dxfId="522">
      <pivotArea outline="0" collapsedLevelsAreSubtotals="1" fieldPosition="0"/>
    </format>
    <format dxfId="521">
      <pivotArea dataOnly="0" labelOnly="1" grandRow="1" outline="0" fieldPosition="0"/>
    </format>
    <format dxfId="520">
      <pivotArea grandRow="1" outline="0" collapsedLevelsAreSubtotals="1" fieldPosition="0"/>
    </format>
    <format dxfId="519">
      <pivotArea dataOnly="0" labelOnly="1" grandRow="1" outline="0" fieldPosition="0"/>
    </format>
    <format dxfId="518">
      <pivotArea grandRow="1" outline="0" collapsedLevelsAreSubtotals="1" fieldPosition="0"/>
    </format>
    <format dxfId="517">
      <pivotArea dataOnly="0" labelOnly="1" grandRow="1" outline="0" fieldPosition="0"/>
    </format>
    <format dxfId="516">
      <pivotArea field="12" type="button" dataOnly="0" labelOnly="1" outline="0"/>
    </format>
    <format dxfId="515">
      <pivotArea dataOnly="0" labelOnly="1" grandCol="1" outline="0" fieldPosition="0"/>
    </format>
    <format dxfId="514">
      <pivotArea dataOnly="0" labelOnly="1" grandCol="1" outline="0" fieldPosition="0"/>
    </format>
    <format dxfId="513">
      <pivotArea dataOnly="0" labelOnly="1" grandCol="1" outline="0" fieldPosition="0"/>
    </format>
    <format dxfId="512">
      <pivotArea dataOnly="0" labelOnly="1" grandCol="1" outline="0" fieldPosition="0"/>
    </format>
    <format dxfId="511">
      <pivotArea grandRow="1" outline="0" collapsedLevelsAreSubtotals="1" fieldPosition="0"/>
    </format>
    <format dxfId="510">
      <pivotArea grandRow="1" outline="0" collapsedLevelsAreSubtotals="1" fieldPosition="0"/>
    </format>
    <format dxfId="509">
      <pivotArea dataOnly="0" grandRow="1" fieldPosition="0"/>
    </format>
    <format dxfId="508">
      <pivotArea dataOnly="0" grandRow="1" fieldPosition="0"/>
    </format>
    <format dxfId="507">
      <pivotArea dataOnly="0" labelOnly="1" grandCol="1" outline="0" fieldPosition="0"/>
    </format>
    <format dxfId="506">
      <pivotArea outline="0" collapsedLevelsAreSubtotals="1" fieldPosition="0"/>
    </format>
    <format dxfId="505">
      <pivotArea dataOnly="0" labelOnly="1" fieldPosition="0">
        <references count="1">
          <reference field="52" count="0"/>
        </references>
      </pivotArea>
    </format>
    <format dxfId="504">
      <pivotArea dataOnly="0" labelOnly="1" grandRow="1" outline="0" fieldPosition="0"/>
    </format>
    <format dxfId="503">
      <pivotArea dataOnly="0" labelOnly="1" grandCol="1" outline="0" fieldPosition="0"/>
    </format>
    <format dxfId="502">
      <pivotArea dataOnly="0" labelOnly="1" grandCol="1" outline="0" fieldPosition="0"/>
    </format>
    <format dxfId="50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Tabla dinámica36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V78:W81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42"/>
  </rowFields>
  <rowItems count="2">
    <i>
      <x/>
    </i>
    <i t="grand">
      <x/>
    </i>
  </rowItems>
  <colItems count="1">
    <i/>
  </colItems>
  <pageFields count="2">
    <pageField fld="52" hier="-1"/>
    <pageField fld="109" hier="-1"/>
  </pageFields>
  <dataFields count="1">
    <dataField name="Suma de ENGANCHE 10" fld="99" baseField="103" baseItem="0"/>
  </dataFields>
  <formats count="24">
    <format dxfId="548">
      <pivotArea type="all" dataOnly="0" outline="0" fieldPosition="0"/>
    </format>
    <format dxfId="547">
      <pivotArea type="all" dataOnly="0" outline="0" fieldPosition="0"/>
    </format>
    <format dxfId="546">
      <pivotArea outline="0" collapsedLevelsAreSubtotals="1" fieldPosition="0"/>
    </format>
    <format dxfId="545">
      <pivotArea dataOnly="0" labelOnly="1" grandRow="1" outline="0" fieldPosition="0"/>
    </format>
    <format dxfId="544">
      <pivotArea grandRow="1" outline="0" collapsedLevelsAreSubtotals="1" fieldPosition="0"/>
    </format>
    <format dxfId="543">
      <pivotArea dataOnly="0" labelOnly="1" grandRow="1" outline="0" fieldPosition="0"/>
    </format>
    <format dxfId="542">
      <pivotArea grandRow="1" outline="0" collapsedLevelsAreSubtotals="1" fieldPosition="0"/>
    </format>
    <format dxfId="541">
      <pivotArea dataOnly="0" labelOnly="1" grandRow="1" outline="0" fieldPosition="0"/>
    </format>
    <format dxfId="540">
      <pivotArea field="12" type="button" dataOnly="0" labelOnly="1" outline="0"/>
    </format>
    <format dxfId="539">
      <pivotArea dataOnly="0" labelOnly="1" grandCol="1" outline="0" fieldPosition="0"/>
    </format>
    <format dxfId="538">
      <pivotArea dataOnly="0" labelOnly="1" grandCol="1" outline="0" fieldPosition="0"/>
    </format>
    <format dxfId="537">
      <pivotArea dataOnly="0" labelOnly="1" grandCol="1" outline="0" fieldPosition="0"/>
    </format>
    <format dxfId="536">
      <pivotArea dataOnly="0" labelOnly="1" grandCol="1" outline="0" fieldPosition="0"/>
    </format>
    <format dxfId="535">
      <pivotArea grandRow="1" outline="0" collapsedLevelsAreSubtotals="1" fieldPosition="0"/>
    </format>
    <format dxfId="534">
      <pivotArea grandRow="1" outline="0" collapsedLevelsAreSubtotals="1" fieldPosition="0"/>
    </format>
    <format dxfId="533">
      <pivotArea dataOnly="0" grandRow="1" fieldPosition="0"/>
    </format>
    <format dxfId="532">
      <pivotArea dataOnly="0" grandRow="1" fieldPosition="0"/>
    </format>
    <format dxfId="531">
      <pivotArea dataOnly="0" labelOnly="1" grandCol="1" outline="0" fieldPosition="0"/>
    </format>
    <format dxfId="530">
      <pivotArea outline="0" collapsedLevelsAreSubtotals="1" fieldPosition="0"/>
    </format>
    <format dxfId="529">
      <pivotArea dataOnly="0" labelOnly="1" fieldPosition="0">
        <references count="1">
          <reference field="52" count="0"/>
        </references>
      </pivotArea>
    </format>
    <format dxfId="528">
      <pivotArea dataOnly="0" labelOnly="1" grandRow="1" outline="0" fieldPosition="0"/>
    </format>
    <format dxfId="527">
      <pivotArea dataOnly="0" labelOnly="1" grandCol="1" outline="0" fieldPosition="0"/>
    </format>
    <format dxfId="526">
      <pivotArea dataOnly="0" labelOnly="1" grandCol="1" outline="0" fieldPosition="0"/>
    </format>
    <format dxfId="52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Tabla dinámica57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V92:W95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42"/>
  </rowFields>
  <rowItems count="2">
    <i>
      <x/>
    </i>
    <i t="grand">
      <x/>
    </i>
  </rowItems>
  <colItems count="1">
    <i/>
  </colItems>
  <pageFields count="2">
    <pageField fld="52" hier="-1"/>
    <pageField fld="109" hier="-1"/>
  </pageFields>
  <dataFields count="1">
    <dataField name="Cuenta de ENGANCHE 10" fld="99" subtotal="count" baseField="103" baseItem="0"/>
  </dataFields>
  <formats count="24">
    <format dxfId="572">
      <pivotArea type="all" dataOnly="0" outline="0" fieldPosition="0"/>
    </format>
    <format dxfId="571">
      <pivotArea type="all" dataOnly="0" outline="0" fieldPosition="0"/>
    </format>
    <format dxfId="570">
      <pivotArea outline="0" collapsedLevelsAreSubtotals="1" fieldPosition="0"/>
    </format>
    <format dxfId="569">
      <pivotArea dataOnly="0" labelOnly="1" grandRow="1" outline="0" fieldPosition="0"/>
    </format>
    <format dxfId="568">
      <pivotArea grandRow="1" outline="0" collapsedLevelsAreSubtotals="1" fieldPosition="0"/>
    </format>
    <format dxfId="567">
      <pivotArea dataOnly="0" labelOnly="1" grandRow="1" outline="0" fieldPosition="0"/>
    </format>
    <format dxfId="566">
      <pivotArea grandRow="1" outline="0" collapsedLevelsAreSubtotals="1" fieldPosition="0"/>
    </format>
    <format dxfId="565">
      <pivotArea dataOnly="0" labelOnly="1" grandRow="1" outline="0" fieldPosition="0"/>
    </format>
    <format dxfId="564">
      <pivotArea field="12" type="button" dataOnly="0" labelOnly="1" outline="0"/>
    </format>
    <format dxfId="563">
      <pivotArea dataOnly="0" labelOnly="1" grandCol="1" outline="0" fieldPosition="0"/>
    </format>
    <format dxfId="562">
      <pivotArea dataOnly="0" labelOnly="1" grandCol="1" outline="0" fieldPosition="0"/>
    </format>
    <format dxfId="561">
      <pivotArea dataOnly="0" labelOnly="1" grandCol="1" outline="0" fieldPosition="0"/>
    </format>
    <format dxfId="560">
      <pivotArea dataOnly="0" labelOnly="1" grandCol="1" outline="0" fieldPosition="0"/>
    </format>
    <format dxfId="559">
      <pivotArea grandRow="1" outline="0" collapsedLevelsAreSubtotals="1" fieldPosition="0"/>
    </format>
    <format dxfId="558">
      <pivotArea grandRow="1" outline="0" collapsedLevelsAreSubtotals="1" fieldPosition="0"/>
    </format>
    <format dxfId="557">
      <pivotArea dataOnly="0" grandRow="1" fieldPosition="0"/>
    </format>
    <format dxfId="556">
      <pivotArea dataOnly="0" grandRow="1" fieldPosition="0"/>
    </format>
    <format dxfId="555">
      <pivotArea dataOnly="0" labelOnly="1" grandCol="1" outline="0" fieldPosition="0"/>
    </format>
    <format dxfId="554">
      <pivotArea outline="0" collapsedLevelsAreSubtotals="1" fieldPosition="0"/>
    </format>
    <format dxfId="553">
      <pivotArea dataOnly="0" labelOnly="1" fieldPosition="0">
        <references count="1">
          <reference field="52" count="0"/>
        </references>
      </pivotArea>
    </format>
    <format dxfId="552">
      <pivotArea dataOnly="0" labelOnly="1" grandRow="1" outline="0" fieldPosition="0"/>
    </format>
    <format dxfId="551">
      <pivotArea dataOnly="0" labelOnly="1" grandCol="1" outline="0" fieldPosition="0"/>
    </format>
    <format dxfId="550">
      <pivotArea dataOnly="0" labelOnly="1" grandCol="1" outline="0" fieldPosition="0"/>
    </format>
    <format dxfId="54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Tabla dinámica43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J135:K139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6"/>
  </rowFields>
  <rowItems count="3">
    <i>
      <x v="1"/>
    </i>
    <i>
      <x v="2"/>
    </i>
    <i t="grand">
      <x/>
    </i>
  </rowItems>
  <colItems count="1">
    <i/>
  </colItems>
  <pageFields count="2">
    <pageField fld="52" hier="-1"/>
    <pageField fld="103" item="0" hier="-1"/>
  </pageFields>
  <dataFields count="1">
    <dataField name="Cuenta de ENGANCHE 4" fld="93" subtotal="count" baseField="97" baseItem="0"/>
  </dataFields>
  <formats count="24">
    <format dxfId="596">
      <pivotArea type="all" dataOnly="0" outline="0" fieldPosition="0"/>
    </format>
    <format dxfId="595">
      <pivotArea type="all" dataOnly="0" outline="0" fieldPosition="0"/>
    </format>
    <format dxfId="594">
      <pivotArea outline="0" collapsedLevelsAreSubtotals="1" fieldPosition="0"/>
    </format>
    <format dxfId="593">
      <pivotArea dataOnly="0" labelOnly="1" grandRow="1" outline="0" fieldPosition="0"/>
    </format>
    <format dxfId="592">
      <pivotArea grandRow="1" outline="0" collapsedLevelsAreSubtotals="1" fieldPosition="0"/>
    </format>
    <format dxfId="591">
      <pivotArea dataOnly="0" labelOnly="1" grandRow="1" outline="0" fieldPosition="0"/>
    </format>
    <format dxfId="590">
      <pivotArea grandRow="1" outline="0" collapsedLevelsAreSubtotals="1" fieldPosition="0"/>
    </format>
    <format dxfId="589">
      <pivotArea dataOnly="0" labelOnly="1" grandRow="1" outline="0" fieldPosition="0"/>
    </format>
    <format dxfId="588">
      <pivotArea field="12" type="button" dataOnly="0" labelOnly="1" outline="0"/>
    </format>
    <format dxfId="587">
      <pivotArea dataOnly="0" labelOnly="1" grandCol="1" outline="0" fieldPosition="0"/>
    </format>
    <format dxfId="586">
      <pivotArea dataOnly="0" labelOnly="1" grandCol="1" outline="0" fieldPosition="0"/>
    </format>
    <format dxfId="585">
      <pivotArea dataOnly="0" labelOnly="1" grandCol="1" outline="0" fieldPosition="0"/>
    </format>
    <format dxfId="584">
      <pivotArea dataOnly="0" labelOnly="1" grandCol="1" outline="0" fieldPosition="0"/>
    </format>
    <format dxfId="583">
      <pivotArea grandRow="1" outline="0" collapsedLevelsAreSubtotals="1" fieldPosition="0"/>
    </format>
    <format dxfId="582">
      <pivotArea grandRow="1" outline="0" collapsedLevelsAreSubtotals="1" fieldPosition="0"/>
    </format>
    <format dxfId="581">
      <pivotArea dataOnly="0" grandRow="1" fieldPosition="0"/>
    </format>
    <format dxfId="580">
      <pivotArea dataOnly="0" grandRow="1" fieldPosition="0"/>
    </format>
    <format dxfId="579">
      <pivotArea dataOnly="0" labelOnly="1" grandCol="1" outline="0" fieldPosition="0"/>
    </format>
    <format dxfId="578">
      <pivotArea outline="0" collapsedLevelsAreSubtotals="1" fieldPosition="0"/>
    </format>
    <format dxfId="577">
      <pivotArea dataOnly="0" labelOnly="1" fieldPosition="0">
        <references count="1">
          <reference field="52" count="0"/>
        </references>
      </pivotArea>
    </format>
    <format dxfId="576">
      <pivotArea dataOnly="0" labelOnly="1" grandRow="1" outline="0" fieldPosition="0"/>
    </format>
    <format dxfId="575">
      <pivotArea dataOnly="0" labelOnly="1" grandCol="1" outline="0" fieldPosition="0"/>
    </format>
    <format dxfId="574">
      <pivotArea dataOnly="0" labelOnly="1" grandCol="1" outline="0" fieldPosition="0"/>
    </format>
    <format dxfId="57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Tabla dinámica66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D92:E95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h="1" x="1"/>
        <item x="2"/>
        <item h="1"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3"/>
  </rowFields>
  <rowItems count="2">
    <i>
      <x v="2"/>
    </i>
    <i t="grand">
      <x/>
    </i>
  </rowItems>
  <colItems count="1">
    <i/>
  </colItems>
  <pageFields count="2">
    <pageField fld="52" hier="-1"/>
    <pageField fld="100" hier="-1"/>
  </pageFields>
  <dataFields count="1">
    <dataField name="Cuenta de ENGANCHE 1" fld="90" subtotal="count" baseField="94" baseItem="0"/>
  </dataFields>
  <formats count="24">
    <format dxfId="620">
      <pivotArea type="all" dataOnly="0" outline="0" fieldPosition="0"/>
    </format>
    <format dxfId="619">
      <pivotArea type="all" dataOnly="0" outline="0" fieldPosition="0"/>
    </format>
    <format dxfId="618">
      <pivotArea outline="0" collapsedLevelsAreSubtotals="1" fieldPosition="0"/>
    </format>
    <format dxfId="617">
      <pivotArea dataOnly="0" labelOnly="1" grandRow="1" outline="0" fieldPosition="0"/>
    </format>
    <format dxfId="616">
      <pivotArea grandRow="1" outline="0" collapsedLevelsAreSubtotals="1" fieldPosition="0"/>
    </format>
    <format dxfId="615">
      <pivotArea dataOnly="0" labelOnly="1" grandRow="1" outline="0" fieldPosition="0"/>
    </format>
    <format dxfId="614">
      <pivotArea grandRow="1" outline="0" collapsedLevelsAreSubtotals="1" fieldPosition="0"/>
    </format>
    <format dxfId="613">
      <pivotArea dataOnly="0" labelOnly="1" grandRow="1" outline="0" fieldPosition="0"/>
    </format>
    <format dxfId="612">
      <pivotArea field="12" type="button" dataOnly="0" labelOnly="1" outline="0"/>
    </format>
    <format dxfId="611">
      <pivotArea dataOnly="0" labelOnly="1" grandCol="1" outline="0" fieldPosition="0"/>
    </format>
    <format dxfId="610">
      <pivotArea dataOnly="0" labelOnly="1" grandCol="1" outline="0" fieldPosition="0"/>
    </format>
    <format dxfId="609">
      <pivotArea dataOnly="0" labelOnly="1" grandCol="1" outline="0" fieldPosition="0"/>
    </format>
    <format dxfId="608">
      <pivotArea dataOnly="0" labelOnly="1" grandCol="1" outline="0" fieldPosition="0"/>
    </format>
    <format dxfId="607">
      <pivotArea grandRow="1" outline="0" collapsedLevelsAreSubtotals="1" fieldPosition="0"/>
    </format>
    <format dxfId="606">
      <pivotArea grandRow="1" outline="0" collapsedLevelsAreSubtotals="1" fieldPosition="0"/>
    </format>
    <format dxfId="605">
      <pivotArea dataOnly="0" grandRow="1" fieldPosition="0"/>
    </format>
    <format dxfId="604">
      <pivotArea dataOnly="0" grandRow="1" fieldPosition="0"/>
    </format>
    <format dxfId="603">
      <pivotArea dataOnly="0" labelOnly="1" grandCol="1" outline="0" fieldPosition="0"/>
    </format>
    <format dxfId="602">
      <pivotArea outline="0" collapsedLevelsAreSubtotals="1" fieldPosition="0"/>
    </format>
    <format dxfId="601">
      <pivotArea dataOnly="0" labelOnly="1" fieldPosition="0">
        <references count="1">
          <reference field="52" count="0"/>
        </references>
      </pivotArea>
    </format>
    <format dxfId="600">
      <pivotArea dataOnly="0" labelOnly="1" grandRow="1" outline="0" fieldPosition="0"/>
    </format>
    <format dxfId="599">
      <pivotArea dataOnly="0" labelOnly="1" grandCol="1" outline="0" fieldPosition="0"/>
    </format>
    <format dxfId="598">
      <pivotArea dataOnly="0" labelOnly="1" grandCol="1" outline="0" fieldPosition="0"/>
    </format>
    <format dxfId="59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Tabla dinámica35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T78:U81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41"/>
  </rowFields>
  <rowItems count="2">
    <i>
      <x/>
    </i>
    <i t="grand">
      <x/>
    </i>
  </rowItems>
  <colItems count="1">
    <i/>
  </colItems>
  <pageFields count="2">
    <pageField fld="52" hier="-1"/>
    <pageField fld="108" hier="-1"/>
  </pageFields>
  <dataFields count="1">
    <dataField name="Suma de ENGANCHE 9" fld="98" baseField="102" baseItem="0"/>
  </dataFields>
  <formats count="24">
    <format dxfId="644">
      <pivotArea type="all" dataOnly="0" outline="0" fieldPosition="0"/>
    </format>
    <format dxfId="643">
      <pivotArea type="all" dataOnly="0" outline="0" fieldPosition="0"/>
    </format>
    <format dxfId="642">
      <pivotArea outline="0" collapsedLevelsAreSubtotals="1" fieldPosition="0"/>
    </format>
    <format dxfId="641">
      <pivotArea dataOnly="0" labelOnly="1" grandRow="1" outline="0" fieldPosition="0"/>
    </format>
    <format dxfId="640">
      <pivotArea grandRow="1" outline="0" collapsedLevelsAreSubtotals="1" fieldPosition="0"/>
    </format>
    <format dxfId="639">
      <pivotArea dataOnly="0" labelOnly="1" grandRow="1" outline="0" fieldPosition="0"/>
    </format>
    <format dxfId="638">
      <pivotArea grandRow="1" outline="0" collapsedLevelsAreSubtotals="1" fieldPosition="0"/>
    </format>
    <format dxfId="637">
      <pivotArea dataOnly="0" labelOnly="1" grandRow="1" outline="0" fieldPosition="0"/>
    </format>
    <format dxfId="636">
      <pivotArea field="12" type="button" dataOnly="0" labelOnly="1" outline="0"/>
    </format>
    <format dxfId="635">
      <pivotArea dataOnly="0" labelOnly="1" grandCol="1" outline="0" fieldPosition="0"/>
    </format>
    <format dxfId="634">
      <pivotArea dataOnly="0" labelOnly="1" grandCol="1" outline="0" fieldPosition="0"/>
    </format>
    <format dxfId="633">
      <pivotArea dataOnly="0" labelOnly="1" grandCol="1" outline="0" fieldPosition="0"/>
    </format>
    <format dxfId="632">
      <pivotArea dataOnly="0" labelOnly="1" grandCol="1" outline="0" fieldPosition="0"/>
    </format>
    <format dxfId="631">
      <pivotArea grandRow="1" outline="0" collapsedLevelsAreSubtotals="1" fieldPosition="0"/>
    </format>
    <format dxfId="630">
      <pivotArea grandRow="1" outline="0" collapsedLevelsAreSubtotals="1" fieldPosition="0"/>
    </format>
    <format dxfId="629">
      <pivotArea dataOnly="0" grandRow="1" fieldPosition="0"/>
    </format>
    <format dxfId="628">
      <pivotArea dataOnly="0" grandRow="1" fieldPosition="0"/>
    </format>
    <format dxfId="627">
      <pivotArea dataOnly="0" labelOnly="1" grandCol="1" outline="0" fieldPosition="0"/>
    </format>
    <format dxfId="626">
      <pivotArea outline="0" collapsedLevelsAreSubtotals="1" fieldPosition="0"/>
    </format>
    <format dxfId="625">
      <pivotArea dataOnly="0" labelOnly="1" fieldPosition="0">
        <references count="1">
          <reference field="52" count="0"/>
        </references>
      </pivotArea>
    </format>
    <format dxfId="624">
      <pivotArea dataOnly="0" labelOnly="1" grandRow="1" outline="0" fieldPosition="0"/>
    </format>
    <format dxfId="623">
      <pivotArea dataOnly="0" labelOnly="1" grandCol="1" outline="0" fieldPosition="0"/>
    </format>
    <format dxfId="622">
      <pivotArea dataOnly="0" labelOnly="1" grandCol="1" outline="0" fieldPosition="0"/>
    </format>
    <format dxfId="62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Tabla dinámica32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N78:O81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8"/>
  </rowFields>
  <rowItems count="2">
    <i>
      <x v="1"/>
    </i>
    <i t="grand">
      <x/>
    </i>
  </rowItems>
  <colItems count="1">
    <i/>
  </colItems>
  <pageFields count="2">
    <pageField fld="52" hier="-1"/>
    <pageField fld="105" hier="-1"/>
  </pageFields>
  <dataFields count="1">
    <dataField name="Suma de ENGANCHE 6" fld="95" baseField="99" baseItem="0"/>
  </dataFields>
  <formats count="24">
    <format dxfId="668">
      <pivotArea type="all" dataOnly="0" outline="0" fieldPosition="0"/>
    </format>
    <format dxfId="667">
      <pivotArea type="all" dataOnly="0" outline="0" fieldPosition="0"/>
    </format>
    <format dxfId="666">
      <pivotArea outline="0" collapsedLevelsAreSubtotals="1" fieldPosition="0"/>
    </format>
    <format dxfId="665">
      <pivotArea dataOnly="0" labelOnly="1" grandRow="1" outline="0" fieldPosition="0"/>
    </format>
    <format dxfId="664">
      <pivotArea grandRow="1" outline="0" collapsedLevelsAreSubtotals="1" fieldPosition="0"/>
    </format>
    <format dxfId="663">
      <pivotArea dataOnly="0" labelOnly="1" grandRow="1" outline="0" fieldPosition="0"/>
    </format>
    <format dxfId="662">
      <pivotArea grandRow="1" outline="0" collapsedLevelsAreSubtotals="1" fieldPosition="0"/>
    </format>
    <format dxfId="661">
      <pivotArea dataOnly="0" labelOnly="1" grandRow="1" outline="0" fieldPosition="0"/>
    </format>
    <format dxfId="660">
      <pivotArea field="12" type="button" dataOnly="0" labelOnly="1" outline="0"/>
    </format>
    <format dxfId="659">
      <pivotArea dataOnly="0" labelOnly="1" grandCol="1" outline="0" fieldPosition="0"/>
    </format>
    <format dxfId="658">
      <pivotArea dataOnly="0" labelOnly="1" grandCol="1" outline="0" fieldPosition="0"/>
    </format>
    <format dxfId="657">
      <pivotArea dataOnly="0" labelOnly="1" grandCol="1" outline="0" fieldPosition="0"/>
    </format>
    <format dxfId="656">
      <pivotArea dataOnly="0" labelOnly="1" grandCol="1" outline="0" fieldPosition="0"/>
    </format>
    <format dxfId="655">
      <pivotArea grandRow="1" outline="0" collapsedLevelsAreSubtotals="1" fieldPosition="0"/>
    </format>
    <format dxfId="654">
      <pivotArea grandRow="1" outline="0" collapsedLevelsAreSubtotals="1" fieldPosition="0"/>
    </format>
    <format dxfId="653">
      <pivotArea dataOnly="0" grandRow="1" fieldPosition="0"/>
    </format>
    <format dxfId="652">
      <pivotArea dataOnly="0" grandRow="1" fieldPosition="0"/>
    </format>
    <format dxfId="651">
      <pivotArea dataOnly="0" labelOnly="1" grandCol="1" outline="0" fieldPosition="0"/>
    </format>
    <format dxfId="650">
      <pivotArea outline="0" collapsedLevelsAreSubtotals="1" fieldPosition="0"/>
    </format>
    <format dxfId="649">
      <pivotArea dataOnly="0" labelOnly="1" fieldPosition="0">
        <references count="1">
          <reference field="52" count="0"/>
        </references>
      </pivotArea>
    </format>
    <format dxfId="648">
      <pivotArea dataOnly="0" labelOnly="1" grandRow="1" outline="0" fieldPosition="0"/>
    </format>
    <format dxfId="647">
      <pivotArea dataOnly="0" labelOnly="1" grandCol="1" outline="0" fieldPosition="0"/>
    </format>
    <format dxfId="646">
      <pivotArea dataOnly="0" labelOnly="1" grandCol="1" outline="0" fieldPosition="0"/>
    </format>
    <format dxfId="64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Tabla dinámica34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R78:S81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40"/>
  </rowFields>
  <rowItems count="2">
    <i>
      <x/>
    </i>
    <i t="grand">
      <x/>
    </i>
  </rowItems>
  <colItems count="1">
    <i/>
  </colItems>
  <pageFields count="2">
    <pageField fld="52" hier="-1"/>
    <pageField fld="107" hier="-1"/>
  </pageFields>
  <dataFields count="1">
    <dataField name="Suma de ENGANCHE 8" fld="97" baseField="101" baseItem="0"/>
  </dataFields>
  <formats count="24">
    <format dxfId="692">
      <pivotArea type="all" dataOnly="0" outline="0" fieldPosition="0"/>
    </format>
    <format dxfId="691">
      <pivotArea type="all" dataOnly="0" outline="0" fieldPosition="0"/>
    </format>
    <format dxfId="690">
      <pivotArea outline="0" collapsedLevelsAreSubtotals="1" fieldPosition="0"/>
    </format>
    <format dxfId="689">
      <pivotArea dataOnly="0" labelOnly="1" grandRow="1" outline="0" fieldPosition="0"/>
    </format>
    <format dxfId="688">
      <pivotArea grandRow="1" outline="0" collapsedLevelsAreSubtotals="1" fieldPosition="0"/>
    </format>
    <format dxfId="687">
      <pivotArea dataOnly="0" labelOnly="1" grandRow="1" outline="0" fieldPosition="0"/>
    </format>
    <format dxfId="686">
      <pivotArea grandRow="1" outline="0" collapsedLevelsAreSubtotals="1" fieldPosition="0"/>
    </format>
    <format dxfId="685">
      <pivotArea dataOnly="0" labelOnly="1" grandRow="1" outline="0" fieldPosition="0"/>
    </format>
    <format dxfId="684">
      <pivotArea field="12" type="button" dataOnly="0" labelOnly="1" outline="0"/>
    </format>
    <format dxfId="683">
      <pivotArea dataOnly="0" labelOnly="1" grandCol="1" outline="0" fieldPosition="0"/>
    </format>
    <format dxfId="682">
      <pivotArea dataOnly="0" labelOnly="1" grandCol="1" outline="0" fieldPosition="0"/>
    </format>
    <format dxfId="681">
      <pivotArea dataOnly="0" labelOnly="1" grandCol="1" outline="0" fieldPosition="0"/>
    </format>
    <format dxfId="680">
      <pivotArea dataOnly="0" labelOnly="1" grandCol="1" outline="0" fieldPosition="0"/>
    </format>
    <format dxfId="679">
      <pivotArea grandRow="1" outline="0" collapsedLevelsAreSubtotals="1" fieldPosition="0"/>
    </format>
    <format dxfId="678">
      <pivotArea grandRow="1" outline="0" collapsedLevelsAreSubtotals="1" fieldPosition="0"/>
    </format>
    <format dxfId="677">
      <pivotArea dataOnly="0" grandRow="1" fieldPosition="0"/>
    </format>
    <format dxfId="676">
      <pivotArea dataOnly="0" grandRow="1" fieldPosition="0"/>
    </format>
    <format dxfId="675">
      <pivotArea dataOnly="0" labelOnly="1" grandCol="1" outline="0" fieldPosition="0"/>
    </format>
    <format dxfId="674">
      <pivotArea outline="0" collapsedLevelsAreSubtotals="1" fieldPosition="0"/>
    </format>
    <format dxfId="673">
      <pivotArea dataOnly="0" labelOnly="1" fieldPosition="0">
        <references count="1">
          <reference field="52" count="0"/>
        </references>
      </pivotArea>
    </format>
    <format dxfId="672">
      <pivotArea dataOnly="0" labelOnly="1" grandRow="1" outline="0" fieldPosition="0"/>
    </format>
    <format dxfId="671">
      <pivotArea dataOnly="0" labelOnly="1" grandCol="1" outline="0" fieldPosition="0"/>
    </format>
    <format dxfId="670">
      <pivotArea dataOnly="0" labelOnly="1" grandCol="1" outline="0" fieldPosition="0"/>
    </format>
    <format dxfId="66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7.xml><?xml version="1.0" encoding="utf-8"?>
<pivotTableDefinition xmlns="http://schemas.openxmlformats.org/spreadsheetml/2006/main" name="Tabla dinámica38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T135:U138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41"/>
  </rowFields>
  <rowItems count="2">
    <i>
      <x/>
    </i>
    <i t="grand">
      <x/>
    </i>
  </rowItems>
  <colItems count="1">
    <i/>
  </colItems>
  <pageFields count="2">
    <pageField fld="52" hier="-1"/>
    <pageField fld="108" hier="-1"/>
  </pageFields>
  <dataFields count="1">
    <dataField name="Cuenta de ENGANCHE 9" fld="98" subtotal="count" baseField="102" baseItem="0"/>
  </dataFields>
  <formats count="24">
    <format dxfId="716">
      <pivotArea type="all" dataOnly="0" outline="0" fieldPosition="0"/>
    </format>
    <format dxfId="715">
      <pivotArea type="all" dataOnly="0" outline="0" fieldPosition="0"/>
    </format>
    <format dxfId="714">
      <pivotArea outline="0" collapsedLevelsAreSubtotals="1" fieldPosition="0"/>
    </format>
    <format dxfId="713">
      <pivotArea dataOnly="0" labelOnly="1" grandRow="1" outline="0" fieldPosition="0"/>
    </format>
    <format dxfId="712">
      <pivotArea grandRow="1" outline="0" collapsedLevelsAreSubtotals="1" fieldPosition="0"/>
    </format>
    <format dxfId="711">
      <pivotArea dataOnly="0" labelOnly="1" grandRow="1" outline="0" fieldPosition="0"/>
    </format>
    <format dxfId="710">
      <pivotArea grandRow="1" outline="0" collapsedLevelsAreSubtotals="1" fieldPosition="0"/>
    </format>
    <format dxfId="709">
      <pivotArea dataOnly="0" labelOnly="1" grandRow="1" outline="0" fieldPosition="0"/>
    </format>
    <format dxfId="708">
      <pivotArea field="12" type="button" dataOnly="0" labelOnly="1" outline="0"/>
    </format>
    <format dxfId="707">
      <pivotArea dataOnly="0" labelOnly="1" grandCol="1" outline="0" fieldPosition="0"/>
    </format>
    <format dxfId="706">
      <pivotArea dataOnly="0" labelOnly="1" grandCol="1" outline="0" fieldPosition="0"/>
    </format>
    <format dxfId="705">
      <pivotArea dataOnly="0" labelOnly="1" grandCol="1" outline="0" fieldPosition="0"/>
    </format>
    <format dxfId="704">
      <pivotArea dataOnly="0" labelOnly="1" grandCol="1" outline="0" fieldPosition="0"/>
    </format>
    <format dxfId="703">
      <pivotArea grandRow="1" outline="0" collapsedLevelsAreSubtotals="1" fieldPosition="0"/>
    </format>
    <format dxfId="702">
      <pivotArea grandRow="1" outline="0" collapsedLevelsAreSubtotals="1" fieldPosition="0"/>
    </format>
    <format dxfId="701">
      <pivotArea dataOnly="0" grandRow="1" fieldPosition="0"/>
    </format>
    <format dxfId="700">
      <pivotArea dataOnly="0" grandRow="1" fieldPosition="0"/>
    </format>
    <format dxfId="699">
      <pivotArea dataOnly="0" labelOnly="1" grandCol="1" outline="0" fieldPosition="0"/>
    </format>
    <format dxfId="698">
      <pivotArea outline="0" collapsedLevelsAreSubtotals="1" fieldPosition="0"/>
    </format>
    <format dxfId="697">
      <pivotArea dataOnly="0" labelOnly="1" fieldPosition="0">
        <references count="1">
          <reference field="52" count="0"/>
        </references>
      </pivotArea>
    </format>
    <format dxfId="696">
      <pivotArea dataOnly="0" labelOnly="1" grandRow="1" outline="0" fieldPosition="0"/>
    </format>
    <format dxfId="695">
      <pivotArea dataOnly="0" labelOnly="1" grandCol="1" outline="0" fieldPosition="0"/>
    </format>
    <format dxfId="694">
      <pivotArea dataOnly="0" labelOnly="1" grandCol="1" outline="0" fieldPosition="0"/>
    </format>
    <format dxfId="69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8.xml><?xml version="1.0" encoding="utf-8"?>
<pivotTableDefinition xmlns="http://schemas.openxmlformats.org/spreadsheetml/2006/main" name="Tabla dinámica37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V135:W138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42"/>
  </rowFields>
  <rowItems count="2">
    <i>
      <x/>
    </i>
    <i t="grand">
      <x/>
    </i>
  </rowItems>
  <colItems count="1">
    <i/>
  </colItems>
  <pageFields count="2">
    <pageField fld="52" hier="-1"/>
    <pageField fld="109" hier="-1"/>
  </pageFields>
  <dataFields count="1">
    <dataField name="Cuenta de ENGANCHE 10" fld="99" subtotal="count" baseField="103" baseItem="0"/>
  </dataFields>
  <formats count="24">
    <format dxfId="740">
      <pivotArea type="all" dataOnly="0" outline="0" fieldPosition="0"/>
    </format>
    <format dxfId="739">
      <pivotArea type="all" dataOnly="0" outline="0" fieldPosition="0"/>
    </format>
    <format dxfId="738">
      <pivotArea outline="0" collapsedLevelsAreSubtotals="1" fieldPosition="0"/>
    </format>
    <format dxfId="737">
      <pivotArea dataOnly="0" labelOnly="1" grandRow="1" outline="0" fieldPosition="0"/>
    </format>
    <format dxfId="736">
      <pivotArea grandRow="1" outline="0" collapsedLevelsAreSubtotals="1" fieldPosition="0"/>
    </format>
    <format dxfId="735">
      <pivotArea dataOnly="0" labelOnly="1" grandRow="1" outline="0" fieldPosition="0"/>
    </format>
    <format dxfId="734">
      <pivotArea grandRow="1" outline="0" collapsedLevelsAreSubtotals="1" fieldPosition="0"/>
    </format>
    <format dxfId="733">
      <pivotArea dataOnly="0" labelOnly="1" grandRow="1" outline="0" fieldPosition="0"/>
    </format>
    <format dxfId="732">
      <pivotArea field="12" type="button" dataOnly="0" labelOnly="1" outline="0"/>
    </format>
    <format dxfId="731">
      <pivotArea dataOnly="0" labelOnly="1" grandCol="1" outline="0" fieldPosition="0"/>
    </format>
    <format dxfId="730">
      <pivotArea dataOnly="0" labelOnly="1" grandCol="1" outline="0" fieldPosition="0"/>
    </format>
    <format dxfId="729">
      <pivotArea dataOnly="0" labelOnly="1" grandCol="1" outline="0" fieldPosition="0"/>
    </format>
    <format dxfId="728">
      <pivotArea dataOnly="0" labelOnly="1" grandCol="1" outline="0" fieldPosition="0"/>
    </format>
    <format dxfId="727">
      <pivotArea grandRow="1" outline="0" collapsedLevelsAreSubtotals="1" fieldPosition="0"/>
    </format>
    <format dxfId="726">
      <pivotArea grandRow="1" outline="0" collapsedLevelsAreSubtotals="1" fieldPosition="0"/>
    </format>
    <format dxfId="725">
      <pivotArea dataOnly="0" grandRow="1" fieldPosition="0"/>
    </format>
    <format dxfId="724">
      <pivotArea dataOnly="0" grandRow="1" fieldPosition="0"/>
    </format>
    <format dxfId="723">
      <pivotArea dataOnly="0" labelOnly="1" grandCol="1" outline="0" fieldPosition="0"/>
    </format>
    <format dxfId="722">
      <pivotArea outline="0" collapsedLevelsAreSubtotals="1" fieldPosition="0"/>
    </format>
    <format dxfId="721">
      <pivotArea dataOnly="0" labelOnly="1" fieldPosition="0">
        <references count="1">
          <reference field="52" count="0"/>
        </references>
      </pivotArea>
    </format>
    <format dxfId="720">
      <pivotArea dataOnly="0" labelOnly="1" grandRow="1" outline="0" fieldPosition="0"/>
    </format>
    <format dxfId="719">
      <pivotArea dataOnly="0" labelOnly="1" grandCol="1" outline="0" fieldPosition="0"/>
    </format>
    <format dxfId="718">
      <pivotArea dataOnly="0" labelOnly="1" grandCol="1" outline="0" fieldPosition="0"/>
    </format>
    <format dxfId="71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9.xml><?xml version="1.0" encoding="utf-8"?>
<pivotTableDefinition xmlns="http://schemas.openxmlformats.org/spreadsheetml/2006/main" name="Tabla dinámica19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R59:S62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40"/>
  </rowFields>
  <rowItems count="2">
    <i>
      <x/>
    </i>
    <i t="grand">
      <x/>
    </i>
  </rowItems>
  <colItems count="1">
    <i/>
  </colItems>
  <pageFields count="2">
    <pageField fld="52" hier="-1"/>
    <pageField fld="107" hier="-1"/>
  </pageFields>
  <dataFields count="1">
    <dataField name="Suma de ENGANCHE 8" fld="97" baseField="101" baseItem="0"/>
  </dataFields>
  <formats count="24">
    <format dxfId="764">
      <pivotArea type="all" dataOnly="0" outline="0" fieldPosition="0"/>
    </format>
    <format dxfId="763">
      <pivotArea type="all" dataOnly="0" outline="0" fieldPosition="0"/>
    </format>
    <format dxfId="762">
      <pivotArea outline="0" collapsedLevelsAreSubtotals="1" fieldPosition="0"/>
    </format>
    <format dxfId="761">
      <pivotArea dataOnly="0" labelOnly="1" grandRow="1" outline="0" fieldPosition="0"/>
    </format>
    <format dxfId="760">
      <pivotArea grandRow="1" outline="0" collapsedLevelsAreSubtotals="1" fieldPosition="0"/>
    </format>
    <format dxfId="759">
      <pivotArea dataOnly="0" labelOnly="1" grandRow="1" outline="0" fieldPosition="0"/>
    </format>
    <format dxfId="758">
      <pivotArea grandRow="1" outline="0" collapsedLevelsAreSubtotals="1" fieldPosition="0"/>
    </format>
    <format dxfId="757">
      <pivotArea dataOnly="0" labelOnly="1" grandRow="1" outline="0" fieldPosition="0"/>
    </format>
    <format dxfId="756">
      <pivotArea field="12" type="button" dataOnly="0" labelOnly="1" outline="0"/>
    </format>
    <format dxfId="755">
      <pivotArea dataOnly="0" labelOnly="1" grandCol="1" outline="0" fieldPosition="0"/>
    </format>
    <format dxfId="754">
      <pivotArea dataOnly="0" labelOnly="1" grandCol="1" outline="0" fieldPosition="0"/>
    </format>
    <format dxfId="753">
      <pivotArea dataOnly="0" labelOnly="1" grandCol="1" outline="0" fieldPosition="0"/>
    </format>
    <format dxfId="752">
      <pivotArea dataOnly="0" labelOnly="1" grandCol="1" outline="0" fieldPosition="0"/>
    </format>
    <format dxfId="751">
      <pivotArea grandRow="1" outline="0" collapsedLevelsAreSubtotals="1" fieldPosition="0"/>
    </format>
    <format dxfId="750">
      <pivotArea grandRow="1" outline="0" collapsedLevelsAreSubtotals="1" fieldPosition="0"/>
    </format>
    <format dxfId="749">
      <pivotArea dataOnly="0" grandRow="1" fieldPosition="0"/>
    </format>
    <format dxfId="748">
      <pivotArea dataOnly="0" grandRow="1" fieldPosition="0"/>
    </format>
    <format dxfId="747">
      <pivotArea dataOnly="0" labelOnly="1" grandCol="1" outline="0" fieldPosition="0"/>
    </format>
    <format dxfId="746">
      <pivotArea outline="0" collapsedLevelsAreSubtotals="1" fieldPosition="0"/>
    </format>
    <format dxfId="745">
      <pivotArea dataOnly="0" labelOnly="1" fieldPosition="0">
        <references count="1">
          <reference field="52" count="0"/>
        </references>
      </pivotArea>
    </format>
    <format dxfId="744">
      <pivotArea dataOnly="0" labelOnly="1" grandRow="1" outline="0" fieldPosition="0"/>
    </format>
    <format dxfId="743">
      <pivotArea dataOnly="0" labelOnly="1" grandCol="1" outline="0" fieldPosition="0"/>
    </format>
    <format dxfId="742">
      <pivotArea dataOnly="0" labelOnly="1" grandCol="1" outline="0" fieldPosition="0"/>
    </format>
    <format dxfId="74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0.xml><?xml version="1.0" encoding="utf-8"?>
<pivotTableDefinition xmlns="http://schemas.openxmlformats.org/spreadsheetml/2006/main" name="Tabla dinámica63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J92:K96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6"/>
  </rowFields>
  <rowItems count="3">
    <i>
      <x/>
    </i>
    <i>
      <x v="1"/>
    </i>
    <i t="grand">
      <x/>
    </i>
  </rowItems>
  <colItems count="1">
    <i/>
  </colItems>
  <pageFields count="2">
    <pageField fld="52" hier="-1"/>
    <pageField fld="103" item="1" hier="-1"/>
  </pageFields>
  <dataFields count="1">
    <dataField name="Cuenta de ENGANCHE 4" fld="93" subtotal="count" baseField="97" baseItem="0"/>
  </dataFields>
  <formats count="24">
    <format dxfId="788">
      <pivotArea type="all" dataOnly="0" outline="0" fieldPosition="0"/>
    </format>
    <format dxfId="787">
      <pivotArea type="all" dataOnly="0" outline="0" fieldPosition="0"/>
    </format>
    <format dxfId="786">
      <pivotArea outline="0" collapsedLevelsAreSubtotals="1" fieldPosition="0"/>
    </format>
    <format dxfId="785">
      <pivotArea dataOnly="0" labelOnly="1" grandRow="1" outline="0" fieldPosition="0"/>
    </format>
    <format dxfId="784">
      <pivotArea grandRow="1" outline="0" collapsedLevelsAreSubtotals="1" fieldPosition="0"/>
    </format>
    <format dxfId="783">
      <pivotArea dataOnly="0" labelOnly="1" grandRow="1" outline="0" fieldPosition="0"/>
    </format>
    <format dxfId="782">
      <pivotArea grandRow="1" outline="0" collapsedLevelsAreSubtotals="1" fieldPosition="0"/>
    </format>
    <format dxfId="781">
      <pivotArea dataOnly="0" labelOnly="1" grandRow="1" outline="0" fieldPosition="0"/>
    </format>
    <format dxfId="780">
      <pivotArea field="12" type="button" dataOnly="0" labelOnly="1" outline="0"/>
    </format>
    <format dxfId="779">
      <pivotArea dataOnly="0" labelOnly="1" grandCol="1" outline="0" fieldPosition="0"/>
    </format>
    <format dxfId="778">
      <pivotArea dataOnly="0" labelOnly="1" grandCol="1" outline="0" fieldPosition="0"/>
    </format>
    <format dxfId="777">
      <pivotArea dataOnly="0" labelOnly="1" grandCol="1" outline="0" fieldPosition="0"/>
    </format>
    <format dxfId="776">
      <pivotArea dataOnly="0" labelOnly="1" grandCol="1" outline="0" fieldPosition="0"/>
    </format>
    <format dxfId="775">
      <pivotArea grandRow="1" outline="0" collapsedLevelsAreSubtotals="1" fieldPosition="0"/>
    </format>
    <format dxfId="774">
      <pivotArea grandRow="1" outline="0" collapsedLevelsAreSubtotals="1" fieldPosition="0"/>
    </format>
    <format dxfId="773">
      <pivotArea dataOnly="0" grandRow="1" fieldPosition="0"/>
    </format>
    <format dxfId="772">
      <pivotArea dataOnly="0" grandRow="1" fieldPosition="0"/>
    </format>
    <format dxfId="771">
      <pivotArea dataOnly="0" labelOnly="1" grandCol="1" outline="0" fieldPosition="0"/>
    </format>
    <format dxfId="770">
      <pivotArea outline="0" collapsedLevelsAreSubtotals="1" fieldPosition="0"/>
    </format>
    <format dxfId="769">
      <pivotArea dataOnly="0" labelOnly="1" fieldPosition="0">
        <references count="1">
          <reference field="52" count="0"/>
        </references>
      </pivotArea>
    </format>
    <format dxfId="768">
      <pivotArea dataOnly="0" labelOnly="1" grandRow="1" outline="0" fieldPosition="0"/>
    </format>
    <format dxfId="767">
      <pivotArea dataOnly="0" labelOnly="1" grandCol="1" outline="0" fieldPosition="0"/>
    </format>
    <format dxfId="766">
      <pivotArea dataOnly="0" labelOnly="1" grandCol="1" outline="0" fieldPosition="0"/>
    </format>
    <format dxfId="76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1.xml><?xml version="1.0" encoding="utf-8"?>
<pivotTableDefinition xmlns="http://schemas.openxmlformats.org/spreadsheetml/2006/main" name="Tabla dinámica41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N135:O138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8"/>
  </rowFields>
  <rowItems count="2">
    <i>
      <x v="1"/>
    </i>
    <i t="grand">
      <x/>
    </i>
  </rowItems>
  <colItems count="1">
    <i/>
  </colItems>
  <pageFields count="2">
    <pageField fld="52" hier="-1"/>
    <pageField fld="105" hier="-1"/>
  </pageFields>
  <dataFields count="1">
    <dataField name="Cuenta de ENGANCHE 6" fld="95" subtotal="count" baseField="99" baseItem="0"/>
  </dataFields>
  <formats count="24">
    <format dxfId="812">
      <pivotArea type="all" dataOnly="0" outline="0" fieldPosition="0"/>
    </format>
    <format dxfId="811">
      <pivotArea type="all" dataOnly="0" outline="0" fieldPosition="0"/>
    </format>
    <format dxfId="810">
      <pivotArea outline="0" collapsedLevelsAreSubtotals="1" fieldPosition="0"/>
    </format>
    <format dxfId="809">
      <pivotArea dataOnly="0" labelOnly="1" grandRow="1" outline="0" fieldPosition="0"/>
    </format>
    <format dxfId="808">
      <pivotArea grandRow="1" outline="0" collapsedLevelsAreSubtotals="1" fieldPosition="0"/>
    </format>
    <format dxfId="807">
      <pivotArea dataOnly="0" labelOnly="1" grandRow="1" outline="0" fieldPosition="0"/>
    </format>
    <format dxfId="806">
      <pivotArea grandRow="1" outline="0" collapsedLevelsAreSubtotals="1" fieldPosition="0"/>
    </format>
    <format dxfId="805">
      <pivotArea dataOnly="0" labelOnly="1" grandRow="1" outline="0" fieldPosition="0"/>
    </format>
    <format dxfId="804">
      <pivotArea field="12" type="button" dataOnly="0" labelOnly="1" outline="0"/>
    </format>
    <format dxfId="803">
      <pivotArea dataOnly="0" labelOnly="1" grandCol="1" outline="0" fieldPosition="0"/>
    </format>
    <format dxfId="802">
      <pivotArea dataOnly="0" labelOnly="1" grandCol="1" outline="0" fieldPosition="0"/>
    </format>
    <format dxfId="801">
      <pivotArea dataOnly="0" labelOnly="1" grandCol="1" outline="0" fieldPosition="0"/>
    </format>
    <format dxfId="800">
      <pivotArea dataOnly="0" labelOnly="1" grandCol="1" outline="0" fieldPosition="0"/>
    </format>
    <format dxfId="799">
      <pivotArea grandRow="1" outline="0" collapsedLevelsAreSubtotals="1" fieldPosition="0"/>
    </format>
    <format dxfId="798">
      <pivotArea grandRow="1" outline="0" collapsedLevelsAreSubtotals="1" fieldPosition="0"/>
    </format>
    <format dxfId="797">
      <pivotArea dataOnly="0" grandRow="1" fieldPosition="0"/>
    </format>
    <format dxfId="796">
      <pivotArea dataOnly="0" grandRow="1" fieldPosition="0"/>
    </format>
    <format dxfId="795">
      <pivotArea dataOnly="0" labelOnly="1" grandCol="1" outline="0" fieldPosition="0"/>
    </format>
    <format dxfId="794">
      <pivotArea outline="0" collapsedLevelsAreSubtotals="1" fieldPosition="0"/>
    </format>
    <format dxfId="793">
      <pivotArea dataOnly="0" labelOnly="1" fieldPosition="0">
        <references count="1">
          <reference field="52" count="0"/>
        </references>
      </pivotArea>
    </format>
    <format dxfId="792">
      <pivotArea dataOnly="0" labelOnly="1" grandRow="1" outline="0" fieldPosition="0"/>
    </format>
    <format dxfId="791">
      <pivotArea dataOnly="0" labelOnly="1" grandCol="1" outline="0" fieldPosition="0"/>
    </format>
    <format dxfId="790">
      <pivotArea dataOnly="0" labelOnly="1" grandCol="1" outline="0" fieldPosition="0"/>
    </format>
    <format dxfId="78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2.xml><?xml version="1.0" encoding="utf-8"?>
<pivotTableDefinition xmlns="http://schemas.openxmlformats.org/spreadsheetml/2006/main" name="Tabla dinámica58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T92:U95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41"/>
  </rowFields>
  <rowItems count="2">
    <i>
      <x/>
    </i>
    <i t="grand">
      <x/>
    </i>
  </rowItems>
  <colItems count="1">
    <i/>
  </colItems>
  <pageFields count="2">
    <pageField fld="52" hier="-1"/>
    <pageField fld="108" hier="-1"/>
  </pageFields>
  <dataFields count="1">
    <dataField name="Cuenta de ENGANCHE 9" fld="98" subtotal="count" baseField="102" baseItem="0"/>
  </dataFields>
  <formats count="24">
    <format dxfId="836">
      <pivotArea type="all" dataOnly="0" outline="0" fieldPosition="0"/>
    </format>
    <format dxfId="835">
      <pivotArea type="all" dataOnly="0" outline="0" fieldPosition="0"/>
    </format>
    <format dxfId="834">
      <pivotArea outline="0" collapsedLevelsAreSubtotals="1" fieldPosition="0"/>
    </format>
    <format dxfId="833">
      <pivotArea dataOnly="0" labelOnly="1" grandRow="1" outline="0" fieldPosition="0"/>
    </format>
    <format dxfId="832">
      <pivotArea grandRow="1" outline="0" collapsedLevelsAreSubtotals="1" fieldPosition="0"/>
    </format>
    <format dxfId="831">
      <pivotArea dataOnly="0" labelOnly="1" grandRow="1" outline="0" fieldPosition="0"/>
    </format>
    <format dxfId="830">
      <pivotArea grandRow="1" outline="0" collapsedLevelsAreSubtotals="1" fieldPosition="0"/>
    </format>
    <format dxfId="829">
      <pivotArea dataOnly="0" labelOnly="1" grandRow="1" outline="0" fieldPosition="0"/>
    </format>
    <format dxfId="828">
      <pivotArea field="12" type="button" dataOnly="0" labelOnly="1" outline="0"/>
    </format>
    <format dxfId="827">
      <pivotArea dataOnly="0" labelOnly="1" grandCol="1" outline="0" fieldPosition="0"/>
    </format>
    <format dxfId="826">
      <pivotArea dataOnly="0" labelOnly="1" grandCol="1" outline="0" fieldPosition="0"/>
    </format>
    <format dxfId="825">
      <pivotArea dataOnly="0" labelOnly="1" grandCol="1" outline="0" fieldPosition="0"/>
    </format>
    <format dxfId="824">
      <pivotArea dataOnly="0" labelOnly="1" grandCol="1" outline="0" fieldPosition="0"/>
    </format>
    <format dxfId="823">
      <pivotArea grandRow="1" outline="0" collapsedLevelsAreSubtotals="1" fieldPosition="0"/>
    </format>
    <format dxfId="822">
      <pivotArea grandRow="1" outline="0" collapsedLevelsAreSubtotals="1" fieldPosition="0"/>
    </format>
    <format dxfId="821">
      <pivotArea dataOnly="0" grandRow="1" fieldPosition="0"/>
    </format>
    <format dxfId="820">
      <pivotArea dataOnly="0" grandRow="1" fieldPosition="0"/>
    </format>
    <format dxfId="819">
      <pivotArea dataOnly="0" labelOnly="1" grandCol="1" outline="0" fieldPosition="0"/>
    </format>
    <format dxfId="818">
      <pivotArea outline="0" collapsedLevelsAreSubtotals="1" fieldPosition="0"/>
    </format>
    <format dxfId="817">
      <pivotArea dataOnly="0" labelOnly="1" fieldPosition="0">
        <references count="1">
          <reference field="52" count="0"/>
        </references>
      </pivotArea>
    </format>
    <format dxfId="816">
      <pivotArea dataOnly="0" labelOnly="1" grandRow="1" outline="0" fieldPosition="0"/>
    </format>
    <format dxfId="815">
      <pivotArea dataOnly="0" labelOnly="1" grandCol="1" outline="0" fieldPosition="0"/>
    </format>
    <format dxfId="814">
      <pivotArea dataOnly="0" labelOnly="1" grandCol="1" outline="0" fieldPosition="0"/>
    </format>
    <format dxfId="81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3.xml><?xml version="1.0" encoding="utf-8"?>
<pivotTableDefinition xmlns="http://schemas.openxmlformats.org/spreadsheetml/2006/main" name="Tabla dinámica49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H116:I119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">
        <item x="1"/>
        <item x="2"/>
        <item x="0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5"/>
  </rowFields>
  <rowItems count="2">
    <i>
      <x v="2"/>
    </i>
    <i t="grand">
      <x/>
    </i>
  </rowItems>
  <colItems count="1">
    <i/>
  </colItems>
  <pageFields count="2">
    <pageField fld="52" hier="-1"/>
    <pageField fld="102" item="2" hier="-1"/>
  </pageFields>
  <dataFields count="1">
    <dataField name="Cuenta de ENGANCHE 3" fld="92" subtotal="count" baseField="96" baseItem="0"/>
  </dataFields>
  <formats count="24">
    <format dxfId="860">
      <pivotArea type="all" dataOnly="0" outline="0" fieldPosition="0"/>
    </format>
    <format dxfId="859">
      <pivotArea type="all" dataOnly="0" outline="0" fieldPosition="0"/>
    </format>
    <format dxfId="858">
      <pivotArea outline="0" collapsedLevelsAreSubtotals="1" fieldPosition="0"/>
    </format>
    <format dxfId="857">
      <pivotArea dataOnly="0" labelOnly="1" grandRow="1" outline="0" fieldPosition="0"/>
    </format>
    <format dxfId="856">
      <pivotArea grandRow="1" outline="0" collapsedLevelsAreSubtotals="1" fieldPosition="0"/>
    </format>
    <format dxfId="855">
      <pivotArea dataOnly="0" labelOnly="1" grandRow="1" outline="0" fieldPosition="0"/>
    </format>
    <format dxfId="854">
      <pivotArea grandRow="1" outline="0" collapsedLevelsAreSubtotals="1" fieldPosition="0"/>
    </format>
    <format dxfId="853">
      <pivotArea dataOnly="0" labelOnly="1" grandRow="1" outline="0" fieldPosition="0"/>
    </format>
    <format dxfId="852">
      <pivotArea field="12" type="button" dataOnly="0" labelOnly="1" outline="0"/>
    </format>
    <format dxfId="851">
      <pivotArea dataOnly="0" labelOnly="1" grandCol="1" outline="0" fieldPosition="0"/>
    </format>
    <format dxfId="850">
      <pivotArea dataOnly="0" labelOnly="1" grandCol="1" outline="0" fieldPosition="0"/>
    </format>
    <format dxfId="849">
      <pivotArea dataOnly="0" labelOnly="1" grandCol="1" outline="0" fieldPosition="0"/>
    </format>
    <format dxfId="848">
      <pivotArea dataOnly="0" labelOnly="1" grandCol="1" outline="0" fieldPosition="0"/>
    </format>
    <format dxfId="847">
      <pivotArea grandRow="1" outline="0" collapsedLevelsAreSubtotals="1" fieldPosition="0"/>
    </format>
    <format dxfId="846">
      <pivotArea grandRow="1" outline="0" collapsedLevelsAreSubtotals="1" fieldPosition="0"/>
    </format>
    <format dxfId="845">
      <pivotArea dataOnly="0" grandRow="1" fieldPosition="0"/>
    </format>
    <format dxfId="844">
      <pivotArea dataOnly="0" grandRow="1" fieldPosition="0"/>
    </format>
    <format dxfId="843">
      <pivotArea dataOnly="0" labelOnly="1" grandCol="1" outline="0" fieldPosition="0"/>
    </format>
    <format dxfId="842">
      <pivotArea outline="0" collapsedLevelsAreSubtotals="1" fieldPosition="0"/>
    </format>
    <format dxfId="841">
      <pivotArea dataOnly="0" labelOnly="1" fieldPosition="0">
        <references count="1">
          <reference field="52" count="0"/>
        </references>
      </pivotArea>
    </format>
    <format dxfId="840">
      <pivotArea dataOnly="0" labelOnly="1" grandRow="1" outline="0" fieldPosition="0"/>
    </format>
    <format dxfId="839">
      <pivotArea dataOnly="0" labelOnly="1" grandCol="1" outline="0" fieldPosition="0"/>
    </format>
    <format dxfId="838">
      <pivotArea dataOnly="0" labelOnly="1" grandCol="1" outline="0" fieldPosition="0"/>
    </format>
    <format dxfId="83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4.xml><?xml version="1.0" encoding="utf-8"?>
<pivotTableDefinition xmlns="http://schemas.openxmlformats.org/spreadsheetml/2006/main" name="Tabla dinámica51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L116:M119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1"/>
        <item h="1"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7"/>
  </rowFields>
  <rowItems count="2">
    <i>
      <x/>
    </i>
    <i t="grand">
      <x/>
    </i>
  </rowItems>
  <colItems count="1">
    <i/>
  </colItems>
  <pageFields count="2">
    <pageField fld="52" hier="-1"/>
    <pageField fld="104" hier="-1"/>
  </pageFields>
  <dataFields count="1">
    <dataField name="Cuenta de ENGANCHE 5" fld="94" subtotal="count" baseField="98" baseItem="0"/>
  </dataFields>
  <formats count="24">
    <format dxfId="884">
      <pivotArea type="all" dataOnly="0" outline="0" fieldPosition="0"/>
    </format>
    <format dxfId="883">
      <pivotArea type="all" dataOnly="0" outline="0" fieldPosition="0"/>
    </format>
    <format dxfId="882">
      <pivotArea outline="0" collapsedLevelsAreSubtotals="1" fieldPosition="0"/>
    </format>
    <format dxfId="881">
      <pivotArea dataOnly="0" labelOnly="1" grandRow="1" outline="0" fieldPosition="0"/>
    </format>
    <format dxfId="880">
      <pivotArea grandRow="1" outline="0" collapsedLevelsAreSubtotals="1" fieldPosition="0"/>
    </format>
    <format dxfId="879">
      <pivotArea dataOnly="0" labelOnly="1" grandRow="1" outline="0" fieldPosition="0"/>
    </format>
    <format dxfId="878">
      <pivotArea grandRow="1" outline="0" collapsedLevelsAreSubtotals="1" fieldPosition="0"/>
    </format>
    <format dxfId="877">
      <pivotArea dataOnly="0" labelOnly="1" grandRow="1" outline="0" fieldPosition="0"/>
    </format>
    <format dxfId="876">
      <pivotArea field="12" type="button" dataOnly="0" labelOnly="1" outline="0"/>
    </format>
    <format dxfId="875">
      <pivotArea dataOnly="0" labelOnly="1" grandCol="1" outline="0" fieldPosition="0"/>
    </format>
    <format dxfId="874">
      <pivotArea dataOnly="0" labelOnly="1" grandCol="1" outline="0" fieldPosition="0"/>
    </format>
    <format dxfId="873">
      <pivotArea dataOnly="0" labelOnly="1" grandCol="1" outline="0" fieldPosition="0"/>
    </format>
    <format dxfId="872">
      <pivotArea dataOnly="0" labelOnly="1" grandCol="1" outline="0" fieldPosition="0"/>
    </format>
    <format dxfId="871">
      <pivotArea grandRow="1" outline="0" collapsedLevelsAreSubtotals="1" fieldPosition="0"/>
    </format>
    <format dxfId="870">
      <pivotArea grandRow="1" outline="0" collapsedLevelsAreSubtotals="1" fieldPosition="0"/>
    </format>
    <format dxfId="869">
      <pivotArea dataOnly="0" grandRow="1" fieldPosition="0"/>
    </format>
    <format dxfId="868">
      <pivotArea dataOnly="0" grandRow="1" fieldPosition="0"/>
    </format>
    <format dxfId="867">
      <pivotArea dataOnly="0" labelOnly="1" grandCol="1" outline="0" fieldPosition="0"/>
    </format>
    <format dxfId="866">
      <pivotArea outline="0" collapsedLevelsAreSubtotals="1" fieldPosition="0"/>
    </format>
    <format dxfId="865">
      <pivotArea dataOnly="0" labelOnly="1" fieldPosition="0">
        <references count="1">
          <reference field="52" count="0"/>
        </references>
      </pivotArea>
    </format>
    <format dxfId="864">
      <pivotArea dataOnly="0" labelOnly="1" grandRow="1" outline="0" fieldPosition="0"/>
    </format>
    <format dxfId="863">
      <pivotArea dataOnly="0" labelOnly="1" grandCol="1" outline="0" fieldPosition="0"/>
    </format>
    <format dxfId="862">
      <pivotArea dataOnly="0" labelOnly="1" grandCol="1" outline="0" fieldPosition="0"/>
    </format>
    <format dxfId="86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5.xml><?xml version="1.0" encoding="utf-8"?>
<pivotTableDefinition xmlns="http://schemas.openxmlformats.org/spreadsheetml/2006/main" name="Tabla dinámica45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F135:G140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4">
        <item x="1"/>
        <item x="2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4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52" hier="-1"/>
    <pageField fld="101" item="0" hier="-1"/>
  </pageFields>
  <dataFields count="1">
    <dataField name="Cuenta de ENGANCHE 2" fld="91" subtotal="count" baseField="95" baseItem="0"/>
  </dataFields>
  <formats count="24">
    <format dxfId="908">
      <pivotArea type="all" dataOnly="0" outline="0" fieldPosition="0"/>
    </format>
    <format dxfId="907">
      <pivotArea type="all" dataOnly="0" outline="0" fieldPosition="0"/>
    </format>
    <format dxfId="906">
      <pivotArea outline="0" collapsedLevelsAreSubtotals="1" fieldPosition="0"/>
    </format>
    <format dxfId="905">
      <pivotArea dataOnly="0" labelOnly="1" grandRow="1" outline="0" fieldPosition="0"/>
    </format>
    <format dxfId="904">
      <pivotArea grandRow="1" outline="0" collapsedLevelsAreSubtotals="1" fieldPosition="0"/>
    </format>
    <format dxfId="903">
      <pivotArea dataOnly="0" labelOnly="1" grandRow="1" outline="0" fieldPosition="0"/>
    </format>
    <format dxfId="902">
      <pivotArea grandRow="1" outline="0" collapsedLevelsAreSubtotals="1" fieldPosition="0"/>
    </format>
    <format dxfId="901">
      <pivotArea dataOnly="0" labelOnly="1" grandRow="1" outline="0" fieldPosition="0"/>
    </format>
    <format dxfId="900">
      <pivotArea field="12" type="button" dataOnly="0" labelOnly="1" outline="0"/>
    </format>
    <format dxfId="899">
      <pivotArea dataOnly="0" labelOnly="1" grandCol="1" outline="0" fieldPosition="0"/>
    </format>
    <format dxfId="898">
      <pivotArea dataOnly="0" labelOnly="1" grandCol="1" outline="0" fieldPosition="0"/>
    </format>
    <format dxfId="897">
      <pivotArea dataOnly="0" labelOnly="1" grandCol="1" outline="0" fieldPosition="0"/>
    </format>
    <format dxfId="896">
      <pivotArea dataOnly="0" labelOnly="1" grandCol="1" outline="0" fieldPosition="0"/>
    </format>
    <format dxfId="895">
      <pivotArea grandRow="1" outline="0" collapsedLevelsAreSubtotals="1" fieldPosition="0"/>
    </format>
    <format dxfId="894">
      <pivotArea grandRow="1" outline="0" collapsedLevelsAreSubtotals="1" fieldPosition="0"/>
    </format>
    <format dxfId="893">
      <pivotArea dataOnly="0" grandRow="1" fieldPosition="0"/>
    </format>
    <format dxfId="892">
      <pivotArea dataOnly="0" grandRow="1" fieldPosition="0"/>
    </format>
    <format dxfId="891">
      <pivotArea dataOnly="0" labelOnly="1" grandCol="1" outline="0" fieldPosition="0"/>
    </format>
    <format dxfId="890">
      <pivotArea outline="0" collapsedLevelsAreSubtotals="1" fieldPosition="0"/>
    </format>
    <format dxfId="889">
      <pivotArea dataOnly="0" labelOnly="1" fieldPosition="0">
        <references count="1">
          <reference field="52" count="0"/>
        </references>
      </pivotArea>
    </format>
    <format dxfId="888">
      <pivotArea dataOnly="0" labelOnly="1" grandRow="1" outline="0" fieldPosition="0"/>
    </format>
    <format dxfId="887">
      <pivotArea dataOnly="0" labelOnly="1" grandCol="1" outline="0" fieldPosition="0"/>
    </format>
    <format dxfId="886">
      <pivotArea dataOnly="0" labelOnly="1" grandCol="1" outline="0" fieldPosition="0"/>
    </format>
    <format dxfId="88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6.xml><?xml version="1.0" encoding="utf-8"?>
<pivotTableDefinition xmlns="http://schemas.openxmlformats.org/spreadsheetml/2006/main" name="Tabla dinámica61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N92:O95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8"/>
  </rowFields>
  <rowItems count="2">
    <i>
      <x v="1"/>
    </i>
    <i t="grand">
      <x/>
    </i>
  </rowItems>
  <colItems count="1">
    <i/>
  </colItems>
  <pageFields count="2">
    <pageField fld="52" hier="-1"/>
    <pageField fld="105" hier="-1"/>
  </pageFields>
  <dataFields count="1">
    <dataField name="Cuenta de ENGANCHE 6" fld="95" subtotal="count" baseField="99" baseItem="0"/>
  </dataFields>
  <formats count="24">
    <format dxfId="932">
      <pivotArea type="all" dataOnly="0" outline="0" fieldPosition="0"/>
    </format>
    <format dxfId="931">
      <pivotArea type="all" dataOnly="0" outline="0" fieldPosition="0"/>
    </format>
    <format dxfId="930">
      <pivotArea outline="0" collapsedLevelsAreSubtotals="1" fieldPosition="0"/>
    </format>
    <format dxfId="929">
      <pivotArea dataOnly="0" labelOnly="1" grandRow="1" outline="0" fieldPosition="0"/>
    </format>
    <format dxfId="928">
      <pivotArea grandRow="1" outline="0" collapsedLevelsAreSubtotals="1" fieldPosition="0"/>
    </format>
    <format dxfId="927">
      <pivotArea dataOnly="0" labelOnly="1" grandRow="1" outline="0" fieldPosition="0"/>
    </format>
    <format dxfId="926">
      <pivotArea grandRow="1" outline="0" collapsedLevelsAreSubtotals="1" fieldPosition="0"/>
    </format>
    <format dxfId="925">
      <pivotArea dataOnly="0" labelOnly="1" grandRow="1" outline="0" fieldPosition="0"/>
    </format>
    <format dxfId="924">
      <pivotArea field="12" type="button" dataOnly="0" labelOnly="1" outline="0"/>
    </format>
    <format dxfId="923">
      <pivotArea dataOnly="0" labelOnly="1" grandCol="1" outline="0" fieldPosition="0"/>
    </format>
    <format dxfId="922">
      <pivotArea dataOnly="0" labelOnly="1" grandCol="1" outline="0" fieldPosition="0"/>
    </format>
    <format dxfId="921">
      <pivotArea dataOnly="0" labelOnly="1" grandCol="1" outline="0" fieldPosition="0"/>
    </format>
    <format dxfId="920">
      <pivotArea dataOnly="0" labelOnly="1" grandCol="1" outline="0" fieldPosition="0"/>
    </format>
    <format dxfId="919">
      <pivotArea grandRow="1" outline="0" collapsedLevelsAreSubtotals="1" fieldPosition="0"/>
    </format>
    <format dxfId="918">
      <pivotArea grandRow="1" outline="0" collapsedLevelsAreSubtotals="1" fieldPosition="0"/>
    </format>
    <format dxfId="917">
      <pivotArea dataOnly="0" grandRow="1" fieldPosition="0"/>
    </format>
    <format dxfId="916">
      <pivotArea dataOnly="0" grandRow="1" fieldPosition="0"/>
    </format>
    <format dxfId="915">
      <pivotArea dataOnly="0" labelOnly="1" grandCol="1" outline="0" fieldPosition="0"/>
    </format>
    <format dxfId="914">
      <pivotArea outline="0" collapsedLevelsAreSubtotals="1" fieldPosition="0"/>
    </format>
    <format dxfId="913">
      <pivotArea dataOnly="0" labelOnly="1" fieldPosition="0">
        <references count="1">
          <reference field="52" count="0"/>
        </references>
      </pivotArea>
    </format>
    <format dxfId="912">
      <pivotArea dataOnly="0" labelOnly="1" grandRow="1" outline="0" fieldPosition="0"/>
    </format>
    <format dxfId="911">
      <pivotArea dataOnly="0" labelOnly="1" grandCol="1" outline="0" fieldPosition="0"/>
    </format>
    <format dxfId="910">
      <pivotArea dataOnly="0" labelOnly="1" grandCol="1" outline="0" fieldPosition="0"/>
    </format>
    <format dxfId="90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7.xml><?xml version="1.0" encoding="utf-8"?>
<pivotTableDefinition xmlns="http://schemas.openxmlformats.org/spreadsheetml/2006/main" name="Tabla dinámica5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H35:I38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">
        <item x="1"/>
        <item x="2"/>
        <item x="0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5"/>
  </rowFields>
  <rowItems count="2">
    <i>
      <x/>
    </i>
    <i t="grand">
      <x/>
    </i>
  </rowItems>
  <colItems count="1">
    <i/>
  </colItems>
  <pageFields count="2">
    <pageField fld="52" hier="-1"/>
    <pageField fld="102" item="1" hier="-1"/>
  </pageFields>
  <dataFields count="1">
    <dataField name="Suma de ENGANCHE 3" fld="92" baseField="96" baseItem="1"/>
  </dataFields>
  <formats count="24">
    <format dxfId="956">
      <pivotArea type="all" dataOnly="0" outline="0" fieldPosition="0"/>
    </format>
    <format dxfId="955">
      <pivotArea type="all" dataOnly="0" outline="0" fieldPosition="0"/>
    </format>
    <format dxfId="954">
      <pivotArea outline="0" collapsedLevelsAreSubtotals="1" fieldPosition="0"/>
    </format>
    <format dxfId="953">
      <pivotArea dataOnly="0" labelOnly="1" grandRow="1" outline="0" fieldPosition="0"/>
    </format>
    <format dxfId="952">
      <pivotArea grandRow="1" outline="0" collapsedLevelsAreSubtotals="1" fieldPosition="0"/>
    </format>
    <format dxfId="951">
      <pivotArea dataOnly="0" labelOnly="1" grandRow="1" outline="0" fieldPosition="0"/>
    </format>
    <format dxfId="950">
      <pivotArea grandRow="1" outline="0" collapsedLevelsAreSubtotals="1" fieldPosition="0"/>
    </format>
    <format dxfId="949">
      <pivotArea dataOnly="0" labelOnly="1" grandRow="1" outline="0" fieldPosition="0"/>
    </format>
    <format dxfId="948">
      <pivotArea field="12" type="button" dataOnly="0" labelOnly="1" outline="0"/>
    </format>
    <format dxfId="947">
      <pivotArea dataOnly="0" labelOnly="1" grandCol="1" outline="0" fieldPosition="0"/>
    </format>
    <format dxfId="946">
      <pivotArea dataOnly="0" labelOnly="1" grandCol="1" outline="0" fieldPosition="0"/>
    </format>
    <format dxfId="945">
      <pivotArea dataOnly="0" labelOnly="1" grandCol="1" outline="0" fieldPosition="0"/>
    </format>
    <format dxfId="944">
      <pivotArea dataOnly="0" labelOnly="1" grandCol="1" outline="0" fieldPosition="0"/>
    </format>
    <format dxfId="943">
      <pivotArea grandRow="1" outline="0" collapsedLevelsAreSubtotals="1" fieldPosition="0"/>
    </format>
    <format dxfId="942">
      <pivotArea grandRow="1" outline="0" collapsedLevelsAreSubtotals="1" fieldPosition="0"/>
    </format>
    <format dxfId="941">
      <pivotArea dataOnly="0" grandRow="1" fieldPosition="0"/>
    </format>
    <format dxfId="940">
      <pivotArea dataOnly="0" grandRow="1" fieldPosition="0"/>
    </format>
    <format dxfId="939">
      <pivotArea dataOnly="0" labelOnly="1" grandCol="1" outline="0" fieldPosition="0"/>
    </format>
    <format dxfId="938">
      <pivotArea outline="0" collapsedLevelsAreSubtotals="1" fieldPosition="0"/>
    </format>
    <format dxfId="937">
      <pivotArea dataOnly="0" labelOnly="1" fieldPosition="0">
        <references count="1">
          <reference field="52" count="0"/>
        </references>
      </pivotArea>
    </format>
    <format dxfId="936">
      <pivotArea dataOnly="0" labelOnly="1" grandRow="1" outline="0" fieldPosition="0"/>
    </format>
    <format dxfId="935">
      <pivotArea dataOnly="0" labelOnly="1" grandCol="1" outline="0" fieldPosition="0"/>
    </format>
    <format dxfId="934">
      <pivotArea dataOnly="0" labelOnly="1" grandCol="1" outline="0" fieldPosition="0"/>
    </format>
    <format dxfId="93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8.xml><?xml version="1.0" encoding="utf-8"?>
<pivotTableDefinition xmlns="http://schemas.openxmlformats.org/spreadsheetml/2006/main" name="Tabla dinámica27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D78:E84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x="1"/>
        <item h="1" x="2"/>
        <item h="1"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52" hier="-1"/>
    <pageField fld="100" hier="-1"/>
  </pageFields>
  <dataFields count="1">
    <dataField name="Suma de ENGANCHE 1" fld="90" baseField="94" baseItem="1"/>
  </dataFields>
  <formats count="24">
    <format dxfId="980">
      <pivotArea type="all" dataOnly="0" outline="0" fieldPosition="0"/>
    </format>
    <format dxfId="979">
      <pivotArea type="all" dataOnly="0" outline="0" fieldPosition="0"/>
    </format>
    <format dxfId="978">
      <pivotArea outline="0" collapsedLevelsAreSubtotals="1" fieldPosition="0"/>
    </format>
    <format dxfId="977">
      <pivotArea dataOnly="0" labelOnly="1" grandRow="1" outline="0" fieldPosition="0"/>
    </format>
    <format dxfId="976">
      <pivotArea grandRow="1" outline="0" collapsedLevelsAreSubtotals="1" fieldPosition="0"/>
    </format>
    <format dxfId="975">
      <pivotArea dataOnly="0" labelOnly="1" grandRow="1" outline="0" fieldPosition="0"/>
    </format>
    <format dxfId="974">
      <pivotArea grandRow="1" outline="0" collapsedLevelsAreSubtotals="1" fieldPosition="0"/>
    </format>
    <format dxfId="973">
      <pivotArea dataOnly="0" labelOnly="1" grandRow="1" outline="0" fieldPosition="0"/>
    </format>
    <format dxfId="972">
      <pivotArea field="12" type="button" dataOnly="0" labelOnly="1" outline="0"/>
    </format>
    <format dxfId="971">
      <pivotArea dataOnly="0" labelOnly="1" grandCol="1" outline="0" fieldPosition="0"/>
    </format>
    <format dxfId="970">
      <pivotArea dataOnly="0" labelOnly="1" grandCol="1" outline="0" fieldPosition="0"/>
    </format>
    <format dxfId="969">
      <pivotArea dataOnly="0" labelOnly="1" grandCol="1" outline="0" fieldPosition="0"/>
    </format>
    <format dxfId="968">
      <pivotArea dataOnly="0" labelOnly="1" grandCol="1" outline="0" fieldPosition="0"/>
    </format>
    <format dxfId="967">
      <pivotArea grandRow="1" outline="0" collapsedLevelsAreSubtotals="1" fieldPosition="0"/>
    </format>
    <format dxfId="966">
      <pivotArea grandRow="1" outline="0" collapsedLevelsAreSubtotals="1" fieldPosition="0"/>
    </format>
    <format dxfId="965">
      <pivotArea dataOnly="0" grandRow="1" fieldPosition="0"/>
    </format>
    <format dxfId="964">
      <pivotArea dataOnly="0" grandRow="1" fieldPosition="0"/>
    </format>
    <format dxfId="963">
      <pivotArea dataOnly="0" labelOnly="1" grandCol="1" outline="0" fieldPosition="0"/>
    </format>
    <format dxfId="962">
      <pivotArea outline="0" collapsedLevelsAreSubtotals="1" fieldPosition="0"/>
    </format>
    <format dxfId="961">
      <pivotArea dataOnly="0" labelOnly="1" fieldPosition="0">
        <references count="1">
          <reference field="52" count="0"/>
        </references>
      </pivotArea>
    </format>
    <format dxfId="960">
      <pivotArea dataOnly="0" labelOnly="1" grandRow="1" outline="0" fieldPosition="0"/>
    </format>
    <format dxfId="959">
      <pivotArea dataOnly="0" labelOnly="1" grandCol="1" outline="0" fieldPosition="0"/>
    </format>
    <format dxfId="958">
      <pivotArea dataOnly="0" labelOnly="1" grandCol="1" outline="0" fieldPosition="0"/>
    </format>
    <format dxfId="95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9.xml><?xml version="1.0" encoding="utf-8"?>
<pivotTableDefinition xmlns="http://schemas.openxmlformats.org/spreadsheetml/2006/main" name="Tabla dinámica39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R135:S138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40"/>
  </rowFields>
  <rowItems count="2">
    <i>
      <x/>
    </i>
    <i t="grand">
      <x/>
    </i>
  </rowItems>
  <colItems count="1">
    <i/>
  </colItems>
  <pageFields count="2">
    <pageField fld="52" hier="-1"/>
    <pageField fld="107" hier="-1"/>
  </pageFields>
  <dataFields count="1">
    <dataField name="Cuenta de ENGANCHE 8" fld="97" subtotal="count" baseField="101" baseItem="0"/>
  </dataFields>
  <formats count="24">
    <format dxfId="1004">
      <pivotArea type="all" dataOnly="0" outline="0" fieldPosition="0"/>
    </format>
    <format dxfId="1003">
      <pivotArea type="all" dataOnly="0" outline="0" fieldPosition="0"/>
    </format>
    <format dxfId="1002">
      <pivotArea outline="0" collapsedLevelsAreSubtotals="1" fieldPosition="0"/>
    </format>
    <format dxfId="1001">
      <pivotArea dataOnly="0" labelOnly="1" grandRow="1" outline="0" fieldPosition="0"/>
    </format>
    <format dxfId="1000">
      <pivotArea grandRow="1" outline="0" collapsedLevelsAreSubtotals="1" fieldPosition="0"/>
    </format>
    <format dxfId="999">
      <pivotArea dataOnly="0" labelOnly="1" grandRow="1" outline="0" fieldPosition="0"/>
    </format>
    <format dxfId="998">
      <pivotArea grandRow="1" outline="0" collapsedLevelsAreSubtotals="1" fieldPosition="0"/>
    </format>
    <format dxfId="997">
      <pivotArea dataOnly="0" labelOnly="1" grandRow="1" outline="0" fieldPosition="0"/>
    </format>
    <format dxfId="996">
      <pivotArea field="12" type="button" dataOnly="0" labelOnly="1" outline="0"/>
    </format>
    <format dxfId="995">
      <pivotArea dataOnly="0" labelOnly="1" grandCol="1" outline="0" fieldPosition="0"/>
    </format>
    <format dxfId="994">
      <pivotArea dataOnly="0" labelOnly="1" grandCol="1" outline="0" fieldPosition="0"/>
    </format>
    <format dxfId="993">
      <pivotArea dataOnly="0" labelOnly="1" grandCol="1" outline="0" fieldPosition="0"/>
    </format>
    <format dxfId="992">
      <pivotArea dataOnly="0" labelOnly="1" grandCol="1" outline="0" fieldPosition="0"/>
    </format>
    <format dxfId="991">
      <pivotArea grandRow="1" outline="0" collapsedLevelsAreSubtotals="1" fieldPosition="0"/>
    </format>
    <format dxfId="990">
      <pivotArea grandRow="1" outline="0" collapsedLevelsAreSubtotals="1" fieldPosition="0"/>
    </format>
    <format dxfId="989">
      <pivotArea dataOnly="0" grandRow="1" fieldPosition="0"/>
    </format>
    <format dxfId="988">
      <pivotArea dataOnly="0" grandRow="1" fieldPosition="0"/>
    </format>
    <format dxfId="987">
      <pivotArea dataOnly="0" labelOnly="1" grandCol="1" outline="0" fieldPosition="0"/>
    </format>
    <format dxfId="986">
      <pivotArea outline="0" collapsedLevelsAreSubtotals="1" fieldPosition="0"/>
    </format>
    <format dxfId="985">
      <pivotArea dataOnly="0" labelOnly="1" fieldPosition="0">
        <references count="1">
          <reference field="52" count="0"/>
        </references>
      </pivotArea>
    </format>
    <format dxfId="984">
      <pivotArea dataOnly="0" labelOnly="1" grandRow="1" outline="0" fieldPosition="0"/>
    </format>
    <format dxfId="983">
      <pivotArea dataOnly="0" labelOnly="1" grandCol="1" outline="0" fieldPosition="0"/>
    </format>
    <format dxfId="982">
      <pivotArea dataOnly="0" labelOnly="1" grandCol="1" outline="0" fieldPosition="0"/>
    </format>
    <format dxfId="98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0.xml><?xml version="1.0" encoding="utf-8"?>
<pivotTableDefinition xmlns="http://schemas.openxmlformats.org/spreadsheetml/2006/main" name="Tabla dinámica22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L59:M62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1"/>
        <item h="1"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7"/>
  </rowFields>
  <rowItems count="2">
    <i>
      <x/>
    </i>
    <i t="grand">
      <x/>
    </i>
  </rowItems>
  <colItems count="1">
    <i/>
  </colItems>
  <pageFields count="2">
    <pageField fld="52" hier="-1"/>
    <pageField fld="104" hier="-1"/>
  </pageFields>
  <dataFields count="1">
    <dataField name="Suma de ENGANCHE 5" fld="94" baseField="98" baseItem="1"/>
  </dataFields>
  <formats count="24">
    <format dxfId="1028">
      <pivotArea type="all" dataOnly="0" outline="0" fieldPosition="0"/>
    </format>
    <format dxfId="1027">
      <pivotArea type="all" dataOnly="0" outline="0" fieldPosition="0"/>
    </format>
    <format dxfId="1026">
      <pivotArea outline="0" collapsedLevelsAreSubtotals="1" fieldPosition="0"/>
    </format>
    <format dxfId="1025">
      <pivotArea dataOnly="0" labelOnly="1" grandRow="1" outline="0" fieldPosition="0"/>
    </format>
    <format dxfId="1024">
      <pivotArea grandRow="1" outline="0" collapsedLevelsAreSubtotals="1" fieldPosition="0"/>
    </format>
    <format dxfId="1023">
      <pivotArea dataOnly="0" labelOnly="1" grandRow="1" outline="0" fieldPosition="0"/>
    </format>
    <format dxfId="1022">
      <pivotArea grandRow="1" outline="0" collapsedLevelsAreSubtotals="1" fieldPosition="0"/>
    </format>
    <format dxfId="1021">
      <pivotArea dataOnly="0" labelOnly="1" grandRow="1" outline="0" fieldPosition="0"/>
    </format>
    <format dxfId="1020">
      <pivotArea field="12" type="button" dataOnly="0" labelOnly="1" outline="0"/>
    </format>
    <format dxfId="1019">
      <pivotArea dataOnly="0" labelOnly="1" grandCol="1" outline="0" fieldPosition="0"/>
    </format>
    <format dxfId="1018">
      <pivotArea dataOnly="0" labelOnly="1" grandCol="1" outline="0" fieldPosition="0"/>
    </format>
    <format dxfId="1017">
      <pivotArea dataOnly="0" labelOnly="1" grandCol="1" outline="0" fieldPosition="0"/>
    </format>
    <format dxfId="1016">
      <pivotArea dataOnly="0" labelOnly="1" grandCol="1" outline="0" fieldPosition="0"/>
    </format>
    <format dxfId="1015">
      <pivotArea grandRow="1" outline="0" collapsedLevelsAreSubtotals="1" fieldPosition="0"/>
    </format>
    <format dxfId="1014">
      <pivotArea grandRow="1" outline="0" collapsedLevelsAreSubtotals="1" fieldPosition="0"/>
    </format>
    <format dxfId="1013">
      <pivotArea dataOnly="0" grandRow="1" fieldPosition="0"/>
    </format>
    <format dxfId="1012">
      <pivotArea dataOnly="0" grandRow="1" fieldPosition="0"/>
    </format>
    <format dxfId="1011">
      <pivotArea dataOnly="0" labelOnly="1" grandCol="1" outline="0" fieldPosition="0"/>
    </format>
    <format dxfId="1010">
      <pivotArea outline="0" collapsedLevelsAreSubtotals="1" fieldPosition="0"/>
    </format>
    <format dxfId="1009">
      <pivotArea dataOnly="0" labelOnly="1" fieldPosition="0">
        <references count="1">
          <reference field="52" count="0"/>
        </references>
      </pivotArea>
    </format>
    <format dxfId="1008">
      <pivotArea dataOnly="0" labelOnly="1" grandRow="1" outline="0" fieldPosition="0"/>
    </format>
    <format dxfId="1007">
      <pivotArea dataOnly="0" labelOnly="1" grandCol="1" outline="0" fieldPosition="0"/>
    </format>
    <format dxfId="1006">
      <pivotArea dataOnly="0" labelOnly="1" grandCol="1" outline="0" fieldPosition="0"/>
    </format>
    <format dxfId="100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1.xml><?xml version="1.0" encoding="utf-8"?>
<pivotTableDefinition xmlns="http://schemas.openxmlformats.org/spreadsheetml/2006/main" name="Tabla dinámica46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D135:E141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x="1"/>
        <item h="1" x="2"/>
        <item h="1"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52" hier="-1"/>
    <pageField fld="100" hier="-1"/>
  </pageFields>
  <dataFields count="1">
    <dataField name="Cuenta de ENGANCHE 1" fld="90" subtotal="count" baseField="94" baseItem="3"/>
  </dataFields>
  <formats count="24">
    <format dxfId="1052">
      <pivotArea type="all" dataOnly="0" outline="0" fieldPosition="0"/>
    </format>
    <format dxfId="1051">
      <pivotArea type="all" dataOnly="0" outline="0" fieldPosition="0"/>
    </format>
    <format dxfId="1050">
      <pivotArea outline="0" collapsedLevelsAreSubtotals="1" fieldPosition="0"/>
    </format>
    <format dxfId="1049">
      <pivotArea dataOnly="0" labelOnly="1" grandRow="1" outline="0" fieldPosition="0"/>
    </format>
    <format dxfId="1048">
      <pivotArea grandRow="1" outline="0" collapsedLevelsAreSubtotals="1" fieldPosition="0"/>
    </format>
    <format dxfId="1047">
      <pivotArea dataOnly="0" labelOnly="1" grandRow="1" outline="0" fieldPosition="0"/>
    </format>
    <format dxfId="1046">
      <pivotArea grandRow="1" outline="0" collapsedLevelsAreSubtotals="1" fieldPosition="0"/>
    </format>
    <format dxfId="1045">
      <pivotArea dataOnly="0" labelOnly="1" grandRow="1" outline="0" fieldPosition="0"/>
    </format>
    <format dxfId="1044">
      <pivotArea field="12" type="button" dataOnly="0" labelOnly="1" outline="0"/>
    </format>
    <format dxfId="1043">
      <pivotArea dataOnly="0" labelOnly="1" grandCol="1" outline="0" fieldPosition="0"/>
    </format>
    <format dxfId="1042">
      <pivotArea dataOnly="0" labelOnly="1" grandCol="1" outline="0" fieldPosition="0"/>
    </format>
    <format dxfId="1041">
      <pivotArea dataOnly="0" labelOnly="1" grandCol="1" outline="0" fieldPosition="0"/>
    </format>
    <format dxfId="1040">
      <pivotArea dataOnly="0" labelOnly="1" grandCol="1" outline="0" fieldPosition="0"/>
    </format>
    <format dxfId="1039">
      <pivotArea grandRow="1" outline="0" collapsedLevelsAreSubtotals="1" fieldPosition="0"/>
    </format>
    <format dxfId="1038">
      <pivotArea grandRow="1" outline="0" collapsedLevelsAreSubtotals="1" fieldPosition="0"/>
    </format>
    <format dxfId="1037">
      <pivotArea dataOnly="0" grandRow="1" fieldPosition="0"/>
    </format>
    <format dxfId="1036">
      <pivotArea dataOnly="0" grandRow="1" fieldPosition="0"/>
    </format>
    <format dxfId="1035">
      <pivotArea dataOnly="0" labelOnly="1" grandCol="1" outline="0" fieldPosition="0"/>
    </format>
    <format dxfId="1034">
      <pivotArea outline="0" collapsedLevelsAreSubtotals="1" fieldPosition="0"/>
    </format>
    <format dxfId="1033">
      <pivotArea dataOnly="0" labelOnly="1" fieldPosition="0">
        <references count="1">
          <reference field="52" count="0"/>
        </references>
      </pivotArea>
    </format>
    <format dxfId="1032">
      <pivotArea dataOnly="0" labelOnly="1" grandRow="1" outline="0" fieldPosition="0"/>
    </format>
    <format dxfId="1031">
      <pivotArea dataOnly="0" labelOnly="1" grandCol="1" outline="0" fieldPosition="0"/>
    </format>
    <format dxfId="1030">
      <pivotArea dataOnly="0" labelOnly="1" grandCol="1" outline="0" fieldPosition="0"/>
    </format>
    <format dxfId="102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2.xml><?xml version="1.0" encoding="utf-8"?>
<pivotTableDefinition xmlns="http://schemas.openxmlformats.org/spreadsheetml/2006/main" name="Tabla dinámica31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L78:M81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7"/>
  </rowFields>
  <rowItems count="2">
    <i>
      <x v="1"/>
    </i>
    <i t="grand">
      <x/>
    </i>
  </rowItems>
  <colItems count="1">
    <i/>
  </colItems>
  <pageFields count="2">
    <pageField fld="52" hier="-1"/>
    <pageField fld="104" hier="-1"/>
  </pageFields>
  <dataFields count="1">
    <dataField name="Suma de ENGANCHE 5" fld="94" baseField="98" baseItem="1"/>
  </dataFields>
  <formats count="24">
    <format dxfId="1076">
      <pivotArea type="all" dataOnly="0" outline="0" fieldPosition="0"/>
    </format>
    <format dxfId="1075">
      <pivotArea type="all" dataOnly="0" outline="0" fieldPosition="0"/>
    </format>
    <format dxfId="1074">
      <pivotArea outline="0" collapsedLevelsAreSubtotals="1" fieldPosition="0"/>
    </format>
    <format dxfId="1073">
      <pivotArea dataOnly="0" labelOnly="1" grandRow="1" outline="0" fieldPosition="0"/>
    </format>
    <format dxfId="1072">
      <pivotArea grandRow="1" outline="0" collapsedLevelsAreSubtotals="1" fieldPosition="0"/>
    </format>
    <format dxfId="1071">
      <pivotArea dataOnly="0" labelOnly="1" grandRow="1" outline="0" fieldPosition="0"/>
    </format>
    <format dxfId="1070">
      <pivotArea grandRow="1" outline="0" collapsedLevelsAreSubtotals="1" fieldPosition="0"/>
    </format>
    <format dxfId="1069">
      <pivotArea dataOnly="0" labelOnly="1" grandRow="1" outline="0" fieldPosition="0"/>
    </format>
    <format dxfId="1068">
      <pivotArea field="12" type="button" dataOnly="0" labelOnly="1" outline="0"/>
    </format>
    <format dxfId="1067">
      <pivotArea dataOnly="0" labelOnly="1" grandCol="1" outline="0" fieldPosition="0"/>
    </format>
    <format dxfId="1066">
      <pivotArea dataOnly="0" labelOnly="1" grandCol="1" outline="0" fieldPosition="0"/>
    </format>
    <format dxfId="1065">
      <pivotArea dataOnly="0" labelOnly="1" grandCol="1" outline="0" fieldPosition="0"/>
    </format>
    <format dxfId="1064">
      <pivotArea dataOnly="0" labelOnly="1" grandCol="1" outline="0" fieldPosition="0"/>
    </format>
    <format dxfId="1063">
      <pivotArea grandRow="1" outline="0" collapsedLevelsAreSubtotals="1" fieldPosition="0"/>
    </format>
    <format dxfId="1062">
      <pivotArea grandRow="1" outline="0" collapsedLevelsAreSubtotals="1" fieldPosition="0"/>
    </format>
    <format dxfId="1061">
      <pivotArea dataOnly="0" grandRow="1" fieldPosition="0"/>
    </format>
    <format dxfId="1060">
      <pivotArea dataOnly="0" grandRow="1" fieldPosition="0"/>
    </format>
    <format dxfId="1059">
      <pivotArea dataOnly="0" labelOnly="1" grandCol="1" outline="0" fieldPosition="0"/>
    </format>
    <format dxfId="1058">
      <pivotArea outline="0" collapsedLevelsAreSubtotals="1" fieldPosition="0"/>
    </format>
    <format dxfId="1057">
      <pivotArea dataOnly="0" labelOnly="1" fieldPosition="0">
        <references count="1">
          <reference field="52" count="0"/>
        </references>
      </pivotArea>
    </format>
    <format dxfId="1056">
      <pivotArea dataOnly="0" labelOnly="1" grandRow="1" outline="0" fieldPosition="0"/>
    </format>
    <format dxfId="1055">
      <pivotArea dataOnly="0" labelOnly="1" grandCol="1" outline="0" fieldPosition="0"/>
    </format>
    <format dxfId="1054">
      <pivotArea dataOnly="0" labelOnly="1" grandCol="1" outline="0" fieldPosition="0"/>
    </format>
    <format dxfId="105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3.xml><?xml version="1.0" encoding="utf-8"?>
<pivotTableDefinition xmlns="http://schemas.openxmlformats.org/spreadsheetml/2006/main" name="Tabla dinámica50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J116:K119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6"/>
  </rowFields>
  <rowItems count="2">
    <i>
      <x v="3"/>
    </i>
    <i t="grand">
      <x/>
    </i>
  </rowItems>
  <colItems count="1">
    <i/>
  </colItems>
  <pageFields count="2">
    <pageField fld="52" hier="-1"/>
    <pageField fld="103" item="2" hier="-1"/>
  </pageFields>
  <dataFields count="1">
    <dataField name="Cuenta de ENGANCHE 4" fld="93" subtotal="count" baseField="97" baseItem="0"/>
  </dataFields>
  <formats count="24">
    <format dxfId="1100">
      <pivotArea type="all" dataOnly="0" outline="0" fieldPosition="0"/>
    </format>
    <format dxfId="1099">
      <pivotArea type="all" dataOnly="0" outline="0" fieldPosition="0"/>
    </format>
    <format dxfId="1098">
      <pivotArea outline="0" collapsedLevelsAreSubtotals="1" fieldPosition="0"/>
    </format>
    <format dxfId="1097">
      <pivotArea dataOnly="0" labelOnly="1" grandRow="1" outline="0" fieldPosition="0"/>
    </format>
    <format dxfId="1096">
      <pivotArea grandRow="1" outline="0" collapsedLevelsAreSubtotals="1" fieldPosition="0"/>
    </format>
    <format dxfId="1095">
      <pivotArea dataOnly="0" labelOnly="1" grandRow="1" outline="0" fieldPosition="0"/>
    </format>
    <format dxfId="1094">
      <pivotArea grandRow="1" outline="0" collapsedLevelsAreSubtotals="1" fieldPosition="0"/>
    </format>
    <format dxfId="1093">
      <pivotArea dataOnly="0" labelOnly="1" grandRow="1" outline="0" fieldPosition="0"/>
    </format>
    <format dxfId="1092">
      <pivotArea field="12" type="button" dataOnly="0" labelOnly="1" outline="0"/>
    </format>
    <format dxfId="1091">
      <pivotArea dataOnly="0" labelOnly="1" grandCol="1" outline="0" fieldPosition="0"/>
    </format>
    <format dxfId="1090">
      <pivotArea dataOnly="0" labelOnly="1" grandCol="1" outline="0" fieldPosition="0"/>
    </format>
    <format dxfId="1089">
      <pivotArea dataOnly="0" labelOnly="1" grandCol="1" outline="0" fieldPosition="0"/>
    </format>
    <format dxfId="1088">
      <pivotArea dataOnly="0" labelOnly="1" grandCol="1" outline="0" fieldPosition="0"/>
    </format>
    <format dxfId="1087">
      <pivotArea grandRow="1" outline="0" collapsedLevelsAreSubtotals="1" fieldPosition="0"/>
    </format>
    <format dxfId="1086">
      <pivotArea grandRow="1" outline="0" collapsedLevelsAreSubtotals="1" fieldPosition="0"/>
    </format>
    <format dxfId="1085">
      <pivotArea dataOnly="0" grandRow="1" fieldPosition="0"/>
    </format>
    <format dxfId="1084">
      <pivotArea dataOnly="0" grandRow="1" fieldPosition="0"/>
    </format>
    <format dxfId="1083">
      <pivotArea dataOnly="0" labelOnly="1" grandCol="1" outline="0" fieldPosition="0"/>
    </format>
    <format dxfId="1082">
      <pivotArea outline="0" collapsedLevelsAreSubtotals="1" fieldPosition="0"/>
    </format>
    <format dxfId="1081">
      <pivotArea dataOnly="0" labelOnly="1" fieldPosition="0">
        <references count="1">
          <reference field="52" count="0"/>
        </references>
      </pivotArea>
    </format>
    <format dxfId="1080">
      <pivotArea dataOnly="0" labelOnly="1" grandRow="1" outline="0" fieldPosition="0"/>
    </format>
    <format dxfId="1079">
      <pivotArea dataOnly="0" labelOnly="1" grandCol="1" outline="0" fieldPosition="0"/>
    </format>
    <format dxfId="1078">
      <pivotArea dataOnly="0" labelOnly="1" grandCol="1" outline="0" fieldPosition="0"/>
    </format>
    <format dxfId="107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4.xml><?xml version="1.0" encoding="utf-8"?>
<pivotTableDefinition xmlns="http://schemas.openxmlformats.org/spreadsheetml/2006/main" name="Tabla dinámica21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N59:O62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1"/>
        <item h="1"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8"/>
  </rowFields>
  <rowItems count="2">
    <i>
      <x/>
    </i>
    <i t="grand">
      <x/>
    </i>
  </rowItems>
  <colItems count="1">
    <i/>
  </colItems>
  <pageFields count="2">
    <pageField fld="52" hier="-1"/>
    <pageField fld="105" hier="-1"/>
  </pageFields>
  <dataFields count="1">
    <dataField name="Suma de ENGANCHE 6" fld="95" baseField="99" baseItem="0"/>
  </dataFields>
  <formats count="24">
    <format dxfId="1124">
      <pivotArea type="all" dataOnly="0" outline="0" fieldPosition="0"/>
    </format>
    <format dxfId="1123">
      <pivotArea type="all" dataOnly="0" outline="0" fieldPosition="0"/>
    </format>
    <format dxfId="1122">
      <pivotArea outline="0" collapsedLevelsAreSubtotals="1" fieldPosition="0"/>
    </format>
    <format dxfId="1121">
      <pivotArea dataOnly="0" labelOnly="1" grandRow="1" outline="0" fieldPosition="0"/>
    </format>
    <format dxfId="1120">
      <pivotArea grandRow="1" outline="0" collapsedLevelsAreSubtotals="1" fieldPosition="0"/>
    </format>
    <format dxfId="1119">
      <pivotArea dataOnly="0" labelOnly="1" grandRow="1" outline="0" fieldPosition="0"/>
    </format>
    <format dxfId="1118">
      <pivotArea grandRow="1" outline="0" collapsedLevelsAreSubtotals="1" fieldPosition="0"/>
    </format>
    <format dxfId="1117">
      <pivotArea dataOnly="0" labelOnly="1" grandRow="1" outline="0" fieldPosition="0"/>
    </format>
    <format dxfId="1116">
      <pivotArea field="12" type="button" dataOnly="0" labelOnly="1" outline="0"/>
    </format>
    <format dxfId="1115">
      <pivotArea dataOnly="0" labelOnly="1" grandCol="1" outline="0" fieldPosition="0"/>
    </format>
    <format dxfId="1114">
      <pivotArea dataOnly="0" labelOnly="1" grandCol="1" outline="0" fieldPosition="0"/>
    </format>
    <format dxfId="1113">
      <pivotArea dataOnly="0" labelOnly="1" grandCol="1" outline="0" fieldPosition="0"/>
    </format>
    <format dxfId="1112">
      <pivotArea dataOnly="0" labelOnly="1" grandCol="1" outline="0" fieldPosition="0"/>
    </format>
    <format dxfId="1111">
      <pivotArea grandRow="1" outline="0" collapsedLevelsAreSubtotals="1" fieldPosition="0"/>
    </format>
    <format dxfId="1110">
      <pivotArea grandRow="1" outline="0" collapsedLevelsAreSubtotals="1" fieldPosition="0"/>
    </format>
    <format dxfId="1109">
      <pivotArea dataOnly="0" grandRow="1" fieldPosition="0"/>
    </format>
    <format dxfId="1108">
      <pivotArea dataOnly="0" grandRow="1" fieldPosition="0"/>
    </format>
    <format dxfId="1107">
      <pivotArea dataOnly="0" labelOnly="1" grandCol="1" outline="0" fieldPosition="0"/>
    </format>
    <format dxfId="1106">
      <pivotArea outline="0" collapsedLevelsAreSubtotals="1" fieldPosition="0"/>
    </format>
    <format dxfId="1105">
      <pivotArea dataOnly="0" labelOnly="1" fieldPosition="0">
        <references count="1">
          <reference field="52" count="0"/>
        </references>
      </pivotArea>
    </format>
    <format dxfId="1104">
      <pivotArea dataOnly="0" labelOnly="1" grandRow="1" outline="0" fieldPosition="0"/>
    </format>
    <format dxfId="1103">
      <pivotArea dataOnly="0" labelOnly="1" grandCol="1" outline="0" fieldPosition="0"/>
    </format>
    <format dxfId="1102">
      <pivotArea dataOnly="0" labelOnly="1" grandCol="1" outline="0" fieldPosition="0"/>
    </format>
    <format dxfId="110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5.xml><?xml version="1.0" encoding="utf-8"?>
<pivotTableDefinition xmlns="http://schemas.openxmlformats.org/spreadsheetml/2006/main" name="Tabla dinámica9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N35:O38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8"/>
  </rowFields>
  <rowItems count="2">
    <i>
      <x v="1"/>
    </i>
    <i t="grand">
      <x/>
    </i>
  </rowItems>
  <colItems count="1">
    <i/>
  </colItems>
  <pageFields count="2">
    <pageField fld="52" hier="-1"/>
    <pageField fld="105" hier="-1"/>
  </pageFields>
  <dataFields count="1">
    <dataField name="Suma de ENGANCHE 6" fld="95" baseField="99" baseItem="0"/>
  </dataFields>
  <formats count="24">
    <format dxfId="1148">
      <pivotArea type="all" dataOnly="0" outline="0" fieldPosition="0"/>
    </format>
    <format dxfId="1147">
      <pivotArea type="all" dataOnly="0" outline="0" fieldPosition="0"/>
    </format>
    <format dxfId="1146">
      <pivotArea outline="0" collapsedLevelsAreSubtotals="1" fieldPosition="0"/>
    </format>
    <format dxfId="1145">
      <pivotArea dataOnly="0" labelOnly="1" grandRow="1" outline="0" fieldPosition="0"/>
    </format>
    <format dxfId="1144">
      <pivotArea grandRow="1" outline="0" collapsedLevelsAreSubtotals="1" fieldPosition="0"/>
    </format>
    <format dxfId="1143">
      <pivotArea dataOnly="0" labelOnly="1" grandRow="1" outline="0" fieldPosition="0"/>
    </format>
    <format dxfId="1142">
      <pivotArea grandRow="1" outline="0" collapsedLevelsAreSubtotals="1" fieldPosition="0"/>
    </format>
    <format dxfId="1141">
      <pivotArea dataOnly="0" labelOnly="1" grandRow="1" outline="0" fieldPosition="0"/>
    </format>
    <format dxfId="1140">
      <pivotArea field="12" type="button" dataOnly="0" labelOnly="1" outline="0"/>
    </format>
    <format dxfId="1139">
      <pivotArea dataOnly="0" labelOnly="1" grandCol="1" outline="0" fieldPosition="0"/>
    </format>
    <format dxfId="1138">
      <pivotArea dataOnly="0" labelOnly="1" grandCol="1" outline="0" fieldPosition="0"/>
    </format>
    <format dxfId="1137">
      <pivotArea dataOnly="0" labelOnly="1" grandCol="1" outline="0" fieldPosition="0"/>
    </format>
    <format dxfId="1136">
      <pivotArea dataOnly="0" labelOnly="1" grandCol="1" outline="0" fieldPosition="0"/>
    </format>
    <format dxfId="1135">
      <pivotArea grandRow="1" outline="0" collapsedLevelsAreSubtotals="1" fieldPosition="0"/>
    </format>
    <format dxfId="1134">
      <pivotArea grandRow="1" outline="0" collapsedLevelsAreSubtotals="1" fieldPosition="0"/>
    </format>
    <format dxfId="1133">
      <pivotArea dataOnly="0" grandRow="1" fieldPosition="0"/>
    </format>
    <format dxfId="1132">
      <pivotArea dataOnly="0" grandRow="1" fieldPosition="0"/>
    </format>
    <format dxfId="1131">
      <pivotArea dataOnly="0" labelOnly="1" grandCol="1" outline="0" fieldPosition="0"/>
    </format>
    <format dxfId="1130">
      <pivotArea outline="0" collapsedLevelsAreSubtotals="1" fieldPosition="0"/>
    </format>
    <format dxfId="1129">
      <pivotArea dataOnly="0" labelOnly="1" fieldPosition="0">
        <references count="1">
          <reference field="52" count="0"/>
        </references>
      </pivotArea>
    </format>
    <format dxfId="1128">
      <pivotArea dataOnly="0" labelOnly="1" grandRow="1" outline="0" fieldPosition="0"/>
    </format>
    <format dxfId="1127">
      <pivotArea dataOnly="0" labelOnly="1" grandCol="1" outline="0" fieldPosition="0"/>
    </format>
    <format dxfId="1126">
      <pivotArea dataOnly="0" labelOnly="1" grandCol="1" outline="0" fieldPosition="0"/>
    </format>
    <format dxfId="112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6.xml><?xml version="1.0" encoding="utf-8"?>
<pivotTableDefinition xmlns="http://schemas.openxmlformats.org/spreadsheetml/2006/main" name="Tabla dinámica29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H78:I81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">
        <item x="1"/>
        <item x="2"/>
        <item x="0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5"/>
  </rowFields>
  <rowItems count="2">
    <i>
      <x v="1"/>
    </i>
    <i t="grand">
      <x/>
    </i>
  </rowItems>
  <colItems count="1">
    <i/>
  </colItems>
  <pageFields count="2">
    <pageField fld="52" hier="-1"/>
    <pageField fld="102" item="0" hier="-1"/>
  </pageFields>
  <dataFields count="1">
    <dataField name="Suma de ENGANCHE 3" fld="92" baseField="96" baseItem="1"/>
  </dataFields>
  <formats count="24">
    <format dxfId="1172">
      <pivotArea type="all" dataOnly="0" outline="0" fieldPosition="0"/>
    </format>
    <format dxfId="1171">
      <pivotArea type="all" dataOnly="0" outline="0" fieldPosition="0"/>
    </format>
    <format dxfId="1170">
      <pivotArea outline="0" collapsedLevelsAreSubtotals="1" fieldPosition="0"/>
    </format>
    <format dxfId="1169">
      <pivotArea dataOnly="0" labelOnly="1" grandRow="1" outline="0" fieldPosition="0"/>
    </format>
    <format dxfId="1168">
      <pivotArea grandRow="1" outline="0" collapsedLevelsAreSubtotals="1" fieldPosition="0"/>
    </format>
    <format dxfId="1167">
      <pivotArea dataOnly="0" labelOnly="1" grandRow="1" outline="0" fieldPosition="0"/>
    </format>
    <format dxfId="1166">
      <pivotArea grandRow="1" outline="0" collapsedLevelsAreSubtotals="1" fieldPosition="0"/>
    </format>
    <format dxfId="1165">
      <pivotArea dataOnly="0" labelOnly="1" grandRow="1" outline="0" fieldPosition="0"/>
    </format>
    <format dxfId="1164">
      <pivotArea field="12" type="button" dataOnly="0" labelOnly="1" outline="0"/>
    </format>
    <format dxfId="1163">
      <pivotArea dataOnly="0" labelOnly="1" grandCol="1" outline="0" fieldPosition="0"/>
    </format>
    <format dxfId="1162">
      <pivotArea dataOnly="0" labelOnly="1" grandCol="1" outline="0" fieldPosition="0"/>
    </format>
    <format dxfId="1161">
      <pivotArea dataOnly="0" labelOnly="1" grandCol="1" outline="0" fieldPosition="0"/>
    </format>
    <format dxfId="1160">
      <pivotArea dataOnly="0" labelOnly="1" grandCol="1" outline="0" fieldPosition="0"/>
    </format>
    <format dxfId="1159">
      <pivotArea grandRow="1" outline="0" collapsedLevelsAreSubtotals="1" fieldPosition="0"/>
    </format>
    <format dxfId="1158">
      <pivotArea grandRow="1" outline="0" collapsedLevelsAreSubtotals="1" fieldPosition="0"/>
    </format>
    <format dxfId="1157">
      <pivotArea dataOnly="0" grandRow="1" fieldPosition="0"/>
    </format>
    <format dxfId="1156">
      <pivotArea dataOnly="0" grandRow="1" fieldPosition="0"/>
    </format>
    <format dxfId="1155">
      <pivotArea dataOnly="0" labelOnly="1" grandCol="1" outline="0" fieldPosition="0"/>
    </format>
    <format dxfId="1154">
      <pivotArea outline="0" collapsedLevelsAreSubtotals="1" fieldPosition="0"/>
    </format>
    <format dxfId="1153">
      <pivotArea dataOnly="0" labelOnly="1" fieldPosition="0">
        <references count="1">
          <reference field="52" count="0"/>
        </references>
      </pivotArea>
    </format>
    <format dxfId="1152">
      <pivotArea dataOnly="0" labelOnly="1" grandRow="1" outline="0" fieldPosition="0"/>
    </format>
    <format dxfId="1151">
      <pivotArea dataOnly="0" labelOnly="1" grandCol="1" outline="0" fieldPosition="0"/>
    </format>
    <format dxfId="1150">
      <pivotArea dataOnly="0" labelOnly="1" grandCol="1" outline="0" fieldPosition="0"/>
    </format>
    <format dxfId="114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7.xml><?xml version="1.0" encoding="utf-8"?>
<pivotTableDefinition xmlns="http://schemas.openxmlformats.org/spreadsheetml/2006/main" name="Tabla dinámica62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L92:M95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7"/>
  </rowFields>
  <rowItems count="2">
    <i>
      <x v="1"/>
    </i>
    <i t="grand">
      <x/>
    </i>
  </rowItems>
  <colItems count="1">
    <i/>
  </colItems>
  <pageFields count="2">
    <pageField fld="52" hier="-1"/>
    <pageField fld="104" hier="-1"/>
  </pageFields>
  <dataFields count="1">
    <dataField name="Cuenta de ENGANCHE 5" fld="94" subtotal="count" baseField="98" baseItem="0"/>
  </dataFields>
  <formats count="24">
    <format dxfId="1196">
      <pivotArea type="all" dataOnly="0" outline="0" fieldPosition="0"/>
    </format>
    <format dxfId="1195">
      <pivotArea type="all" dataOnly="0" outline="0" fieldPosition="0"/>
    </format>
    <format dxfId="1194">
      <pivotArea outline="0" collapsedLevelsAreSubtotals="1" fieldPosition="0"/>
    </format>
    <format dxfId="1193">
      <pivotArea dataOnly="0" labelOnly="1" grandRow="1" outline="0" fieldPosition="0"/>
    </format>
    <format dxfId="1192">
      <pivotArea grandRow="1" outline="0" collapsedLevelsAreSubtotals="1" fieldPosition="0"/>
    </format>
    <format dxfId="1191">
      <pivotArea dataOnly="0" labelOnly="1" grandRow="1" outline="0" fieldPosition="0"/>
    </format>
    <format dxfId="1190">
      <pivotArea grandRow="1" outline="0" collapsedLevelsAreSubtotals="1" fieldPosition="0"/>
    </format>
    <format dxfId="1189">
      <pivotArea dataOnly="0" labelOnly="1" grandRow="1" outline="0" fieldPosition="0"/>
    </format>
    <format dxfId="1188">
      <pivotArea field="12" type="button" dataOnly="0" labelOnly="1" outline="0"/>
    </format>
    <format dxfId="1187">
      <pivotArea dataOnly="0" labelOnly="1" grandCol="1" outline="0" fieldPosition="0"/>
    </format>
    <format dxfId="1186">
      <pivotArea dataOnly="0" labelOnly="1" grandCol="1" outline="0" fieldPosition="0"/>
    </format>
    <format dxfId="1185">
      <pivotArea dataOnly="0" labelOnly="1" grandCol="1" outline="0" fieldPosition="0"/>
    </format>
    <format dxfId="1184">
      <pivotArea dataOnly="0" labelOnly="1" grandCol="1" outline="0" fieldPosition="0"/>
    </format>
    <format dxfId="1183">
      <pivotArea grandRow="1" outline="0" collapsedLevelsAreSubtotals="1" fieldPosition="0"/>
    </format>
    <format dxfId="1182">
      <pivotArea grandRow="1" outline="0" collapsedLevelsAreSubtotals="1" fieldPosition="0"/>
    </format>
    <format dxfId="1181">
      <pivotArea dataOnly="0" grandRow="1" fieldPosition="0"/>
    </format>
    <format dxfId="1180">
      <pivotArea dataOnly="0" grandRow="1" fieldPosition="0"/>
    </format>
    <format dxfId="1179">
      <pivotArea dataOnly="0" labelOnly="1" grandCol="1" outline="0" fieldPosition="0"/>
    </format>
    <format dxfId="1178">
      <pivotArea outline="0" collapsedLevelsAreSubtotals="1" fieldPosition="0"/>
    </format>
    <format dxfId="1177">
      <pivotArea dataOnly="0" labelOnly="1" fieldPosition="0">
        <references count="1">
          <reference field="52" count="0"/>
        </references>
      </pivotArea>
    </format>
    <format dxfId="1176">
      <pivotArea dataOnly="0" labelOnly="1" grandRow="1" outline="0" fieldPosition="0"/>
    </format>
    <format dxfId="1175">
      <pivotArea dataOnly="0" labelOnly="1" grandCol="1" outline="0" fieldPosition="0"/>
    </format>
    <format dxfId="1174">
      <pivotArea dataOnly="0" labelOnly="1" grandCol="1" outline="0" fieldPosition="0"/>
    </format>
    <format dxfId="117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8.xml><?xml version="1.0" encoding="utf-8"?>
<pivotTableDefinition xmlns="http://schemas.openxmlformats.org/spreadsheetml/2006/main" name="Tabla dinámica13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D35:E38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h="1" x="1"/>
        <item x="2"/>
        <item h="1"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3"/>
  </rowFields>
  <rowItems count="2">
    <i>
      <x v="2"/>
    </i>
    <i t="grand">
      <x/>
    </i>
  </rowItems>
  <colItems count="1">
    <i/>
  </colItems>
  <pageFields count="2">
    <pageField fld="52" hier="-1"/>
    <pageField fld="100" hier="-1"/>
  </pageFields>
  <dataFields count="1">
    <dataField name="Suma de ENGANCHE 1" fld="90" baseField="94" baseItem="1"/>
  </dataFields>
  <formats count="24">
    <format dxfId="1220">
      <pivotArea type="all" dataOnly="0" outline="0" fieldPosition="0"/>
    </format>
    <format dxfId="1219">
      <pivotArea type="all" dataOnly="0" outline="0" fieldPosition="0"/>
    </format>
    <format dxfId="1218">
      <pivotArea outline="0" collapsedLevelsAreSubtotals="1" fieldPosition="0"/>
    </format>
    <format dxfId="1217">
      <pivotArea dataOnly="0" labelOnly="1" grandRow="1" outline="0" fieldPosition="0"/>
    </format>
    <format dxfId="1216">
      <pivotArea grandRow="1" outline="0" collapsedLevelsAreSubtotals="1" fieldPosition="0"/>
    </format>
    <format dxfId="1215">
      <pivotArea dataOnly="0" labelOnly="1" grandRow="1" outline="0" fieldPosition="0"/>
    </format>
    <format dxfId="1214">
      <pivotArea grandRow="1" outline="0" collapsedLevelsAreSubtotals="1" fieldPosition="0"/>
    </format>
    <format dxfId="1213">
      <pivotArea dataOnly="0" labelOnly="1" grandRow="1" outline="0" fieldPosition="0"/>
    </format>
    <format dxfId="1212">
      <pivotArea field="12" type="button" dataOnly="0" labelOnly="1" outline="0"/>
    </format>
    <format dxfId="1211">
      <pivotArea dataOnly="0" labelOnly="1" grandCol="1" outline="0" fieldPosition="0"/>
    </format>
    <format dxfId="1210">
      <pivotArea dataOnly="0" labelOnly="1" grandCol="1" outline="0" fieldPosition="0"/>
    </format>
    <format dxfId="1209">
      <pivotArea dataOnly="0" labelOnly="1" grandCol="1" outline="0" fieldPosition="0"/>
    </format>
    <format dxfId="1208">
      <pivotArea dataOnly="0" labelOnly="1" grandCol="1" outline="0" fieldPosition="0"/>
    </format>
    <format dxfId="1207">
      <pivotArea grandRow="1" outline="0" collapsedLevelsAreSubtotals="1" fieldPosition="0"/>
    </format>
    <format dxfId="1206">
      <pivotArea grandRow="1" outline="0" collapsedLevelsAreSubtotals="1" fieldPosition="0"/>
    </format>
    <format dxfId="1205">
      <pivotArea dataOnly="0" grandRow="1" fieldPosition="0"/>
    </format>
    <format dxfId="1204">
      <pivotArea dataOnly="0" grandRow="1" fieldPosition="0"/>
    </format>
    <format dxfId="1203">
      <pivotArea dataOnly="0" labelOnly="1" grandCol="1" outline="0" fieldPosition="0"/>
    </format>
    <format dxfId="1202">
      <pivotArea outline="0" collapsedLevelsAreSubtotals="1" fieldPosition="0"/>
    </format>
    <format dxfId="1201">
      <pivotArea dataOnly="0" labelOnly="1" fieldPosition="0">
        <references count="1">
          <reference field="52" count="0"/>
        </references>
      </pivotArea>
    </format>
    <format dxfId="1200">
      <pivotArea dataOnly="0" labelOnly="1" grandRow="1" outline="0" fieldPosition="0"/>
    </format>
    <format dxfId="1199">
      <pivotArea dataOnly="0" labelOnly="1" grandCol="1" outline="0" fieldPosition="0"/>
    </format>
    <format dxfId="1198">
      <pivotArea dataOnly="0" labelOnly="1" grandCol="1" outline="0" fieldPosition="0"/>
    </format>
    <format dxfId="119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9.xml><?xml version="1.0" encoding="utf-8"?>
<pivotTableDefinition xmlns="http://schemas.openxmlformats.org/spreadsheetml/2006/main" name="Tabla dinámica10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P35:Q38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9"/>
  </rowFields>
  <rowItems count="2">
    <i>
      <x/>
    </i>
    <i t="grand">
      <x/>
    </i>
  </rowItems>
  <colItems count="1">
    <i/>
  </colItems>
  <pageFields count="2">
    <pageField fld="52" hier="-1"/>
    <pageField fld="106" hier="-1"/>
  </pageFields>
  <dataFields count="1">
    <dataField name="Suma de ENGANCHE 7" fld="96" baseField="100" baseItem="0"/>
  </dataFields>
  <formats count="24">
    <format dxfId="1244">
      <pivotArea type="all" dataOnly="0" outline="0" fieldPosition="0"/>
    </format>
    <format dxfId="1243">
      <pivotArea type="all" dataOnly="0" outline="0" fieldPosition="0"/>
    </format>
    <format dxfId="1242">
      <pivotArea outline="0" collapsedLevelsAreSubtotals="1" fieldPosition="0"/>
    </format>
    <format dxfId="1241">
      <pivotArea dataOnly="0" labelOnly="1" grandRow="1" outline="0" fieldPosition="0"/>
    </format>
    <format dxfId="1240">
      <pivotArea grandRow="1" outline="0" collapsedLevelsAreSubtotals="1" fieldPosition="0"/>
    </format>
    <format dxfId="1239">
      <pivotArea dataOnly="0" labelOnly="1" grandRow="1" outline="0" fieldPosition="0"/>
    </format>
    <format dxfId="1238">
      <pivotArea grandRow="1" outline="0" collapsedLevelsAreSubtotals="1" fieldPosition="0"/>
    </format>
    <format dxfId="1237">
      <pivotArea dataOnly="0" labelOnly="1" grandRow="1" outline="0" fieldPosition="0"/>
    </format>
    <format dxfId="1236">
      <pivotArea field="12" type="button" dataOnly="0" labelOnly="1" outline="0"/>
    </format>
    <format dxfId="1235">
      <pivotArea dataOnly="0" labelOnly="1" grandCol="1" outline="0" fieldPosition="0"/>
    </format>
    <format dxfId="1234">
      <pivotArea dataOnly="0" labelOnly="1" grandCol="1" outline="0" fieldPosition="0"/>
    </format>
    <format dxfId="1233">
      <pivotArea dataOnly="0" labelOnly="1" grandCol="1" outline="0" fieldPosition="0"/>
    </format>
    <format dxfId="1232">
      <pivotArea dataOnly="0" labelOnly="1" grandCol="1" outline="0" fieldPosition="0"/>
    </format>
    <format dxfId="1231">
      <pivotArea grandRow="1" outline="0" collapsedLevelsAreSubtotals="1" fieldPosition="0"/>
    </format>
    <format dxfId="1230">
      <pivotArea grandRow="1" outline="0" collapsedLevelsAreSubtotals="1" fieldPosition="0"/>
    </format>
    <format dxfId="1229">
      <pivotArea dataOnly="0" grandRow="1" fieldPosition="0"/>
    </format>
    <format dxfId="1228">
      <pivotArea dataOnly="0" grandRow="1" fieldPosition="0"/>
    </format>
    <format dxfId="1227">
      <pivotArea dataOnly="0" labelOnly="1" grandCol="1" outline="0" fieldPosition="0"/>
    </format>
    <format dxfId="1226">
      <pivotArea outline="0" collapsedLevelsAreSubtotals="1" fieldPosition="0"/>
    </format>
    <format dxfId="1225">
      <pivotArea dataOnly="0" labelOnly="1" fieldPosition="0">
        <references count="1">
          <reference field="52" count="0"/>
        </references>
      </pivotArea>
    </format>
    <format dxfId="1224">
      <pivotArea dataOnly="0" labelOnly="1" grandRow="1" outline="0" fieldPosition="0"/>
    </format>
    <format dxfId="1223">
      <pivotArea dataOnly="0" labelOnly="1" grandCol="1" outline="0" fieldPosition="0"/>
    </format>
    <format dxfId="1222">
      <pivotArea dataOnly="0" labelOnly="1" grandCol="1" outline="0" fieldPosition="0"/>
    </format>
    <format dxfId="122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0.xml><?xml version="1.0" encoding="utf-8"?>
<pivotTableDefinition xmlns="http://schemas.openxmlformats.org/spreadsheetml/2006/main" name="Tabla dinámica23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J59:K62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6"/>
  </rowFields>
  <rowItems count="2">
    <i>
      <x v="3"/>
    </i>
    <i t="grand">
      <x/>
    </i>
  </rowItems>
  <colItems count="1">
    <i/>
  </colItems>
  <pageFields count="2">
    <pageField fld="52" hier="-1"/>
    <pageField fld="103" item="2" hier="-1"/>
  </pageFields>
  <dataFields count="1">
    <dataField name="Suma de ENGANCHE 4" fld="93" baseField="97" baseItem="1"/>
  </dataFields>
  <formats count="24">
    <format dxfId="1268">
      <pivotArea type="all" dataOnly="0" outline="0" fieldPosition="0"/>
    </format>
    <format dxfId="1267">
      <pivotArea type="all" dataOnly="0" outline="0" fieldPosition="0"/>
    </format>
    <format dxfId="1266">
      <pivotArea outline="0" collapsedLevelsAreSubtotals="1" fieldPosition="0"/>
    </format>
    <format dxfId="1265">
      <pivotArea dataOnly="0" labelOnly="1" grandRow="1" outline="0" fieldPosition="0"/>
    </format>
    <format dxfId="1264">
      <pivotArea grandRow="1" outline="0" collapsedLevelsAreSubtotals="1" fieldPosition="0"/>
    </format>
    <format dxfId="1263">
      <pivotArea dataOnly="0" labelOnly="1" grandRow="1" outline="0" fieldPosition="0"/>
    </format>
    <format dxfId="1262">
      <pivotArea grandRow="1" outline="0" collapsedLevelsAreSubtotals="1" fieldPosition="0"/>
    </format>
    <format dxfId="1261">
      <pivotArea dataOnly="0" labelOnly="1" grandRow="1" outline="0" fieldPosition="0"/>
    </format>
    <format dxfId="1260">
      <pivotArea field="12" type="button" dataOnly="0" labelOnly="1" outline="0"/>
    </format>
    <format dxfId="1259">
      <pivotArea dataOnly="0" labelOnly="1" grandCol="1" outline="0" fieldPosition="0"/>
    </format>
    <format dxfId="1258">
      <pivotArea dataOnly="0" labelOnly="1" grandCol="1" outline="0" fieldPosition="0"/>
    </format>
    <format dxfId="1257">
      <pivotArea dataOnly="0" labelOnly="1" grandCol="1" outline="0" fieldPosition="0"/>
    </format>
    <format dxfId="1256">
      <pivotArea dataOnly="0" labelOnly="1" grandCol="1" outline="0" fieldPosition="0"/>
    </format>
    <format dxfId="1255">
      <pivotArea grandRow="1" outline="0" collapsedLevelsAreSubtotals="1" fieldPosition="0"/>
    </format>
    <format dxfId="1254">
      <pivotArea grandRow="1" outline="0" collapsedLevelsAreSubtotals="1" fieldPosition="0"/>
    </format>
    <format dxfId="1253">
      <pivotArea dataOnly="0" grandRow="1" fieldPosition="0"/>
    </format>
    <format dxfId="1252">
      <pivotArea dataOnly="0" grandRow="1" fieldPosition="0"/>
    </format>
    <format dxfId="1251">
      <pivotArea dataOnly="0" labelOnly="1" grandCol="1" outline="0" fieldPosition="0"/>
    </format>
    <format dxfId="1250">
      <pivotArea outline="0" collapsedLevelsAreSubtotals="1" fieldPosition="0"/>
    </format>
    <format dxfId="1249">
      <pivotArea dataOnly="0" labelOnly="1" fieldPosition="0">
        <references count="1">
          <reference field="52" count="0"/>
        </references>
      </pivotArea>
    </format>
    <format dxfId="1248">
      <pivotArea dataOnly="0" labelOnly="1" grandRow="1" outline="0" fieldPosition="0"/>
    </format>
    <format dxfId="1247">
      <pivotArea dataOnly="0" labelOnly="1" grandCol="1" outline="0" fieldPosition="0"/>
    </format>
    <format dxfId="1246">
      <pivotArea dataOnly="0" labelOnly="1" grandCol="1" outline="0" fieldPosition="0"/>
    </format>
    <format dxfId="124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1.xml><?xml version="1.0" encoding="utf-8"?>
<pivotTableDefinition xmlns="http://schemas.openxmlformats.org/spreadsheetml/2006/main" name="Tabla dinámica65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F92:G95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4">
        <item x="1"/>
        <item x="2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4"/>
  </rowFields>
  <rowItems count="2">
    <i>
      <x v="2"/>
    </i>
    <i t="grand">
      <x/>
    </i>
  </rowItems>
  <colItems count="1">
    <i/>
  </colItems>
  <pageFields count="2">
    <pageField fld="52" hier="-1"/>
    <pageField fld="101" item="1" hier="-1"/>
  </pageFields>
  <dataFields count="1">
    <dataField name="Cuenta de ENGANCHE 2" fld="91" subtotal="count" baseField="95" baseItem="0"/>
  </dataFields>
  <formats count="24">
    <format dxfId="1292">
      <pivotArea type="all" dataOnly="0" outline="0" fieldPosition="0"/>
    </format>
    <format dxfId="1291">
      <pivotArea type="all" dataOnly="0" outline="0" fieldPosition="0"/>
    </format>
    <format dxfId="1290">
      <pivotArea outline="0" collapsedLevelsAreSubtotals="1" fieldPosition="0"/>
    </format>
    <format dxfId="1289">
      <pivotArea dataOnly="0" labelOnly="1" grandRow="1" outline="0" fieldPosition="0"/>
    </format>
    <format dxfId="1288">
      <pivotArea grandRow="1" outline="0" collapsedLevelsAreSubtotals="1" fieldPosition="0"/>
    </format>
    <format dxfId="1287">
      <pivotArea dataOnly="0" labelOnly="1" grandRow="1" outline="0" fieldPosition="0"/>
    </format>
    <format dxfId="1286">
      <pivotArea grandRow="1" outline="0" collapsedLevelsAreSubtotals="1" fieldPosition="0"/>
    </format>
    <format dxfId="1285">
      <pivotArea dataOnly="0" labelOnly="1" grandRow="1" outline="0" fieldPosition="0"/>
    </format>
    <format dxfId="1284">
      <pivotArea field="12" type="button" dataOnly="0" labelOnly="1" outline="0"/>
    </format>
    <format dxfId="1283">
      <pivotArea dataOnly="0" labelOnly="1" grandCol="1" outline="0" fieldPosition="0"/>
    </format>
    <format dxfId="1282">
      <pivotArea dataOnly="0" labelOnly="1" grandCol="1" outline="0" fieldPosition="0"/>
    </format>
    <format dxfId="1281">
      <pivotArea dataOnly="0" labelOnly="1" grandCol="1" outline="0" fieldPosition="0"/>
    </format>
    <format dxfId="1280">
      <pivotArea dataOnly="0" labelOnly="1" grandCol="1" outline="0" fieldPosition="0"/>
    </format>
    <format dxfId="1279">
      <pivotArea grandRow="1" outline="0" collapsedLevelsAreSubtotals="1" fieldPosition="0"/>
    </format>
    <format dxfId="1278">
      <pivotArea grandRow="1" outline="0" collapsedLevelsAreSubtotals="1" fieldPosition="0"/>
    </format>
    <format dxfId="1277">
      <pivotArea dataOnly="0" grandRow="1" fieldPosition="0"/>
    </format>
    <format dxfId="1276">
      <pivotArea dataOnly="0" grandRow="1" fieldPosition="0"/>
    </format>
    <format dxfId="1275">
      <pivotArea dataOnly="0" labelOnly="1" grandCol="1" outline="0" fieldPosition="0"/>
    </format>
    <format dxfId="1274">
      <pivotArea outline="0" collapsedLevelsAreSubtotals="1" fieldPosition="0"/>
    </format>
    <format dxfId="1273">
      <pivotArea dataOnly="0" labelOnly="1" fieldPosition="0">
        <references count="1">
          <reference field="52" count="0"/>
        </references>
      </pivotArea>
    </format>
    <format dxfId="1272">
      <pivotArea dataOnly="0" labelOnly="1" grandRow="1" outline="0" fieldPosition="0"/>
    </format>
    <format dxfId="1271">
      <pivotArea dataOnly="0" labelOnly="1" grandCol="1" outline="0" fieldPosition="0"/>
    </format>
    <format dxfId="1270">
      <pivotArea dataOnly="0" labelOnly="1" grandCol="1" outline="0" fieldPosition="0"/>
    </format>
    <format dxfId="126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2.xml><?xml version="1.0" encoding="utf-8"?>
<pivotTableDefinition xmlns="http://schemas.openxmlformats.org/spreadsheetml/2006/main" name="Tabla dinámica25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F59:G62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4">
        <item x="1"/>
        <item x="2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4"/>
  </rowFields>
  <rowItems count="2">
    <i>
      <x v="3"/>
    </i>
    <i t="grand">
      <x/>
    </i>
  </rowItems>
  <colItems count="1">
    <i/>
  </colItems>
  <pageFields count="2">
    <pageField fld="52" hier="-1"/>
    <pageField fld="101" item="2" hier="-1"/>
  </pageFields>
  <dataFields count="1">
    <dataField name="Suma de ENGANCHE 2" fld="91" baseField="95" baseItem="3"/>
  </dataFields>
  <formats count="24">
    <format dxfId="1316">
      <pivotArea type="all" dataOnly="0" outline="0" fieldPosition="0"/>
    </format>
    <format dxfId="1315">
      <pivotArea type="all" dataOnly="0" outline="0" fieldPosition="0"/>
    </format>
    <format dxfId="1314">
      <pivotArea outline="0" collapsedLevelsAreSubtotals="1" fieldPosition="0"/>
    </format>
    <format dxfId="1313">
      <pivotArea dataOnly="0" labelOnly="1" grandRow="1" outline="0" fieldPosition="0"/>
    </format>
    <format dxfId="1312">
      <pivotArea grandRow="1" outline="0" collapsedLevelsAreSubtotals="1" fieldPosition="0"/>
    </format>
    <format dxfId="1311">
      <pivotArea dataOnly="0" labelOnly="1" grandRow="1" outline="0" fieldPosition="0"/>
    </format>
    <format dxfId="1310">
      <pivotArea grandRow="1" outline="0" collapsedLevelsAreSubtotals="1" fieldPosition="0"/>
    </format>
    <format dxfId="1309">
      <pivotArea dataOnly="0" labelOnly="1" grandRow="1" outline="0" fieldPosition="0"/>
    </format>
    <format dxfId="1308">
      <pivotArea field="12" type="button" dataOnly="0" labelOnly="1" outline="0"/>
    </format>
    <format dxfId="1307">
      <pivotArea dataOnly="0" labelOnly="1" grandCol="1" outline="0" fieldPosition="0"/>
    </format>
    <format dxfId="1306">
      <pivotArea dataOnly="0" labelOnly="1" grandCol="1" outline="0" fieldPosition="0"/>
    </format>
    <format dxfId="1305">
      <pivotArea dataOnly="0" labelOnly="1" grandCol="1" outline="0" fieldPosition="0"/>
    </format>
    <format dxfId="1304">
      <pivotArea dataOnly="0" labelOnly="1" grandCol="1" outline="0" fieldPosition="0"/>
    </format>
    <format dxfId="1303">
      <pivotArea grandRow="1" outline="0" collapsedLevelsAreSubtotals="1" fieldPosition="0"/>
    </format>
    <format dxfId="1302">
      <pivotArea grandRow="1" outline="0" collapsedLevelsAreSubtotals="1" fieldPosition="0"/>
    </format>
    <format dxfId="1301">
      <pivotArea dataOnly="0" grandRow="1" fieldPosition="0"/>
    </format>
    <format dxfId="1300">
      <pivotArea dataOnly="0" grandRow="1" fieldPosition="0"/>
    </format>
    <format dxfId="1299">
      <pivotArea dataOnly="0" labelOnly="1" grandCol="1" outline="0" fieldPosition="0"/>
    </format>
    <format dxfId="1298">
      <pivotArea outline="0" collapsedLevelsAreSubtotals="1" fieldPosition="0"/>
    </format>
    <format dxfId="1297">
      <pivotArea dataOnly="0" labelOnly="1" fieldPosition="0">
        <references count="1">
          <reference field="52" count="0"/>
        </references>
      </pivotArea>
    </format>
    <format dxfId="1296">
      <pivotArea dataOnly="0" labelOnly="1" grandRow="1" outline="0" fieldPosition="0"/>
    </format>
    <format dxfId="1295">
      <pivotArea dataOnly="0" labelOnly="1" grandCol="1" outline="0" fieldPosition="0"/>
    </format>
    <format dxfId="1294">
      <pivotArea dataOnly="0" labelOnly="1" grandCol="1" outline="0" fieldPosition="0"/>
    </format>
    <format dxfId="129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3.xml><?xml version="1.0" encoding="utf-8"?>
<pivotTableDefinition xmlns="http://schemas.openxmlformats.org/spreadsheetml/2006/main" name="Tabla dinámica24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H59:I62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">
        <item x="1"/>
        <item x="2"/>
        <item x="0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5"/>
  </rowFields>
  <rowItems count="2">
    <i>
      <x v="2"/>
    </i>
    <i t="grand">
      <x/>
    </i>
  </rowItems>
  <colItems count="1">
    <i/>
  </colItems>
  <pageFields count="2">
    <pageField fld="52" hier="-1"/>
    <pageField fld="102" item="2" hier="-1"/>
  </pageFields>
  <dataFields count="1">
    <dataField name="Suma de ENGANCHE 3" fld="92" baseField="96" baseItem="1"/>
  </dataFields>
  <formats count="24">
    <format dxfId="1340">
      <pivotArea type="all" dataOnly="0" outline="0" fieldPosition="0"/>
    </format>
    <format dxfId="1339">
      <pivotArea type="all" dataOnly="0" outline="0" fieldPosition="0"/>
    </format>
    <format dxfId="1338">
      <pivotArea outline="0" collapsedLevelsAreSubtotals="1" fieldPosition="0"/>
    </format>
    <format dxfId="1337">
      <pivotArea dataOnly="0" labelOnly="1" grandRow="1" outline="0" fieldPosition="0"/>
    </format>
    <format dxfId="1336">
      <pivotArea grandRow="1" outline="0" collapsedLevelsAreSubtotals="1" fieldPosition="0"/>
    </format>
    <format dxfId="1335">
      <pivotArea dataOnly="0" labelOnly="1" grandRow="1" outline="0" fieldPosition="0"/>
    </format>
    <format dxfId="1334">
      <pivotArea grandRow="1" outline="0" collapsedLevelsAreSubtotals="1" fieldPosition="0"/>
    </format>
    <format dxfId="1333">
      <pivotArea dataOnly="0" labelOnly="1" grandRow="1" outline="0" fieldPosition="0"/>
    </format>
    <format dxfId="1332">
      <pivotArea field="12" type="button" dataOnly="0" labelOnly="1" outline="0"/>
    </format>
    <format dxfId="1331">
      <pivotArea dataOnly="0" labelOnly="1" grandCol="1" outline="0" fieldPosition="0"/>
    </format>
    <format dxfId="1330">
      <pivotArea dataOnly="0" labelOnly="1" grandCol="1" outline="0" fieldPosition="0"/>
    </format>
    <format dxfId="1329">
      <pivotArea dataOnly="0" labelOnly="1" grandCol="1" outline="0" fieldPosition="0"/>
    </format>
    <format dxfId="1328">
      <pivotArea dataOnly="0" labelOnly="1" grandCol="1" outline="0" fieldPosition="0"/>
    </format>
    <format dxfId="1327">
      <pivotArea grandRow="1" outline="0" collapsedLevelsAreSubtotals="1" fieldPosition="0"/>
    </format>
    <format dxfId="1326">
      <pivotArea grandRow="1" outline="0" collapsedLevelsAreSubtotals="1" fieldPosition="0"/>
    </format>
    <format dxfId="1325">
      <pivotArea dataOnly="0" grandRow="1" fieldPosition="0"/>
    </format>
    <format dxfId="1324">
      <pivotArea dataOnly="0" grandRow="1" fieldPosition="0"/>
    </format>
    <format dxfId="1323">
      <pivotArea dataOnly="0" labelOnly="1" grandCol="1" outline="0" fieldPosition="0"/>
    </format>
    <format dxfId="1322">
      <pivotArea outline="0" collapsedLevelsAreSubtotals="1" fieldPosition="0"/>
    </format>
    <format dxfId="1321">
      <pivotArea dataOnly="0" labelOnly="1" fieldPosition="0">
        <references count="1">
          <reference field="52" count="0"/>
        </references>
      </pivotArea>
    </format>
    <format dxfId="1320">
      <pivotArea dataOnly="0" labelOnly="1" grandRow="1" outline="0" fieldPosition="0"/>
    </format>
    <format dxfId="1319">
      <pivotArea dataOnly="0" labelOnly="1" grandCol="1" outline="0" fieldPosition="0"/>
    </format>
    <format dxfId="1318">
      <pivotArea dataOnly="0" labelOnly="1" grandCol="1" outline="0" fieldPosition="0"/>
    </format>
    <format dxfId="131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4.xml><?xml version="1.0" encoding="utf-8"?>
<pivotTableDefinition xmlns="http://schemas.openxmlformats.org/spreadsheetml/2006/main" name="Tabla dinámica60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P92:Q95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9"/>
  </rowFields>
  <rowItems count="2">
    <i>
      <x/>
    </i>
    <i t="grand">
      <x/>
    </i>
  </rowItems>
  <colItems count="1">
    <i/>
  </colItems>
  <pageFields count="2">
    <pageField fld="52" hier="-1"/>
    <pageField fld="106" hier="-1"/>
  </pageFields>
  <dataFields count="1">
    <dataField name="Cuenta de ENGANCHE 7" fld="96" subtotal="count" baseField="100" baseItem="0"/>
  </dataFields>
  <formats count="24">
    <format dxfId="1364">
      <pivotArea type="all" dataOnly="0" outline="0" fieldPosition="0"/>
    </format>
    <format dxfId="1363">
      <pivotArea type="all" dataOnly="0" outline="0" fieldPosition="0"/>
    </format>
    <format dxfId="1362">
      <pivotArea outline="0" collapsedLevelsAreSubtotals="1" fieldPosition="0"/>
    </format>
    <format dxfId="1361">
      <pivotArea dataOnly="0" labelOnly="1" grandRow="1" outline="0" fieldPosition="0"/>
    </format>
    <format dxfId="1360">
      <pivotArea grandRow="1" outline="0" collapsedLevelsAreSubtotals="1" fieldPosition="0"/>
    </format>
    <format dxfId="1359">
      <pivotArea dataOnly="0" labelOnly="1" grandRow="1" outline="0" fieldPosition="0"/>
    </format>
    <format dxfId="1358">
      <pivotArea grandRow="1" outline="0" collapsedLevelsAreSubtotals="1" fieldPosition="0"/>
    </format>
    <format dxfId="1357">
      <pivotArea dataOnly="0" labelOnly="1" grandRow="1" outline="0" fieldPosition="0"/>
    </format>
    <format dxfId="1356">
      <pivotArea field="12" type="button" dataOnly="0" labelOnly="1" outline="0"/>
    </format>
    <format dxfId="1355">
      <pivotArea dataOnly="0" labelOnly="1" grandCol="1" outline="0" fieldPosition="0"/>
    </format>
    <format dxfId="1354">
      <pivotArea dataOnly="0" labelOnly="1" grandCol="1" outline="0" fieldPosition="0"/>
    </format>
    <format dxfId="1353">
      <pivotArea dataOnly="0" labelOnly="1" grandCol="1" outline="0" fieldPosition="0"/>
    </format>
    <format dxfId="1352">
      <pivotArea dataOnly="0" labelOnly="1" grandCol="1" outline="0" fieldPosition="0"/>
    </format>
    <format dxfId="1351">
      <pivotArea grandRow="1" outline="0" collapsedLevelsAreSubtotals="1" fieldPosition="0"/>
    </format>
    <format dxfId="1350">
      <pivotArea grandRow="1" outline="0" collapsedLevelsAreSubtotals="1" fieldPosition="0"/>
    </format>
    <format dxfId="1349">
      <pivotArea dataOnly="0" grandRow="1" fieldPosition="0"/>
    </format>
    <format dxfId="1348">
      <pivotArea dataOnly="0" grandRow="1" fieldPosition="0"/>
    </format>
    <format dxfId="1347">
      <pivotArea dataOnly="0" labelOnly="1" grandCol="1" outline="0" fieldPosition="0"/>
    </format>
    <format dxfId="1346">
      <pivotArea outline="0" collapsedLevelsAreSubtotals="1" fieldPosition="0"/>
    </format>
    <format dxfId="1345">
      <pivotArea dataOnly="0" labelOnly="1" fieldPosition="0">
        <references count="1">
          <reference field="52" count="0"/>
        </references>
      </pivotArea>
    </format>
    <format dxfId="1344">
      <pivotArea dataOnly="0" labelOnly="1" grandRow="1" outline="0" fieldPosition="0"/>
    </format>
    <format dxfId="1343">
      <pivotArea dataOnly="0" labelOnly="1" grandCol="1" outline="0" fieldPosition="0"/>
    </format>
    <format dxfId="1342">
      <pivotArea dataOnly="0" labelOnly="1" grandCol="1" outline="0" fieldPosition="0"/>
    </format>
    <format dxfId="134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5.xml><?xml version="1.0" encoding="utf-8"?>
<pivotTableDefinition xmlns="http://schemas.openxmlformats.org/spreadsheetml/2006/main" name="Tabla dinámica14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R35:S38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40"/>
  </rowFields>
  <rowItems count="2">
    <i>
      <x/>
    </i>
    <i t="grand">
      <x/>
    </i>
  </rowItems>
  <colItems count="1">
    <i/>
  </colItems>
  <pageFields count="2">
    <pageField fld="52" hier="-1"/>
    <pageField fld="107" item="0" hier="-1"/>
  </pageFields>
  <dataFields count="1">
    <dataField name="Suma de ENGANCHE 8" fld="97" baseField="101" baseItem="0"/>
  </dataFields>
  <formats count="24">
    <format dxfId="1388">
      <pivotArea type="all" dataOnly="0" outline="0" fieldPosition="0"/>
    </format>
    <format dxfId="1387">
      <pivotArea type="all" dataOnly="0" outline="0" fieldPosition="0"/>
    </format>
    <format dxfId="1386">
      <pivotArea outline="0" collapsedLevelsAreSubtotals="1" fieldPosition="0"/>
    </format>
    <format dxfId="1385">
      <pivotArea dataOnly="0" labelOnly="1" grandRow="1" outline="0" fieldPosition="0"/>
    </format>
    <format dxfId="1384">
      <pivotArea grandRow="1" outline="0" collapsedLevelsAreSubtotals="1" fieldPosition="0"/>
    </format>
    <format dxfId="1383">
      <pivotArea dataOnly="0" labelOnly="1" grandRow="1" outline="0" fieldPosition="0"/>
    </format>
    <format dxfId="1382">
      <pivotArea grandRow="1" outline="0" collapsedLevelsAreSubtotals="1" fieldPosition="0"/>
    </format>
    <format dxfId="1381">
      <pivotArea dataOnly="0" labelOnly="1" grandRow="1" outline="0" fieldPosition="0"/>
    </format>
    <format dxfId="1380">
      <pivotArea field="12" type="button" dataOnly="0" labelOnly="1" outline="0"/>
    </format>
    <format dxfId="1379">
      <pivotArea dataOnly="0" labelOnly="1" grandCol="1" outline="0" fieldPosition="0"/>
    </format>
    <format dxfId="1378">
      <pivotArea dataOnly="0" labelOnly="1" grandCol="1" outline="0" fieldPosition="0"/>
    </format>
    <format dxfId="1377">
      <pivotArea dataOnly="0" labelOnly="1" grandCol="1" outline="0" fieldPosition="0"/>
    </format>
    <format dxfId="1376">
      <pivotArea dataOnly="0" labelOnly="1" grandCol="1" outline="0" fieldPosition="0"/>
    </format>
    <format dxfId="1375">
      <pivotArea grandRow="1" outline="0" collapsedLevelsAreSubtotals="1" fieldPosition="0"/>
    </format>
    <format dxfId="1374">
      <pivotArea grandRow="1" outline="0" collapsedLevelsAreSubtotals="1" fieldPosition="0"/>
    </format>
    <format dxfId="1373">
      <pivotArea dataOnly="0" grandRow="1" fieldPosition="0"/>
    </format>
    <format dxfId="1372">
      <pivotArea dataOnly="0" grandRow="1" fieldPosition="0"/>
    </format>
    <format dxfId="1371">
      <pivotArea dataOnly="0" labelOnly="1" grandCol="1" outline="0" fieldPosition="0"/>
    </format>
    <format dxfId="1370">
      <pivotArea outline="0" collapsedLevelsAreSubtotals="1" fieldPosition="0"/>
    </format>
    <format dxfId="1369">
      <pivotArea dataOnly="0" labelOnly="1" fieldPosition="0">
        <references count="1">
          <reference field="52" count="0"/>
        </references>
      </pivotArea>
    </format>
    <format dxfId="1368">
      <pivotArea dataOnly="0" labelOnly="1" grandRow="1" outline="0" fieldPosition="0"/>
    </format>
    <format dxfId="1367">
      <pivotArea dataOnly="0" labelOnly="1" grandCol="1" outline="0" fieldPosition="0"/>
    </format>
    <format dxfId="1366">
      <pivotArea dataOnly="0" labelOnly="1" grandCol="1" outline="0" fieldPosition="0"/>
    </format>
    <format dxfId="136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6.xml><?xml version="1.0" encoding="utf-8"?>
<pivotTableDefinition xmlns="http://schemas.openxmlformats.org/spreadsheetml/2006/main" name="Tabla dinámica15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T35:U38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41"/>
  </rowFields>
  <rowItems count="2">
    <i>
      <x/>
    </i>
    <i t="grand">
      <x/>
    </i>
  </rowItems>
  <colItems count="1">
    <i/>
  </colItems>
  <pageFields count="2">
    <pageField fld="52" hier="-1"/>
    <pageField fld="108" hier="-1"/>
  </pageFields>
  <dataFields count="1">
    <dataField name="Suma de ENGANCHE 9" fld="98" baseField="102" baseItem="0"/>
  </dataFields>
  <formats count="24">
    <format dxfId="1412">
      <pivotArea type="all" dataOnly="0" outline="0" fieldPosition="0"/>
    </format>
    <format dxfId="1411">
      <pivotArea type="all" dataOnly="0" outline="0" fieldPosition="0"/>
    </format>
    <format dxfId="1410">
      <pivotArea outline="0" collapsedLevelsAreSubtotals="1" fieldPosition="0"/>
    </format>
    <format dxfId="1409">
      <pivotArea dataOnly="0" labelOnly="1" grandRow="1" outline="0" fieldPosition="0"/>
    </format>
    <format dxfId="1408">
      <pivotArea grandRow="1" outline="0" collapsedLevelsAreSubtotals="1" fieldPosition="0"/>
    </format>
    <format dxfId="1407">
      <pivotArea dataOnly="0" labelOnly="1" grandRow="1" outline="0" fieldPosition="0"/>
    </format>
    <format dxfId="1406">
      <pivotArea grandRow="1" outline="0" collapsedLevelsAreSubtotals="1" fieldPosition="0"/>
    </format>
    <format dxfId="1405">
      <pivotArea dataOnly="0" labelOnly="1" grandRow="1" outline="0" fieldPosition="0"/>
    </format>
    <format dxfId="1404">
      <pivotArea field="12" type="button" dataOnly="0" labelOnly="1" outline="0"/>
    </format>
    <format dxfId="1403">
      <pivotArea dataOnly="0" labelOnly="1" grandCol="1" outline="0" fieldPosition="0"/>
    </format>
    <format dxfId="1402">
      <pivotArea dataOnly="0" labelOnly="1" grandCol="1" outline="0" fieldPosition="0"/>
    </format>
    <format dxfId="1401">
      <pivotArea dataOnly="0" labelOnly="1" grandCol="1" outline="0" fieldPosition="0"/>
    </format>
    <format dxfId="1400">
      <pivotArea dataOnly="0" labelOnly="1" grandCol="1" outline="0" fieldPosition="0"/>
    </format>
    <format dxfId="1399">
      <pivotArea grandRow="1" outline="0" collapsedLevelsAreSubtotals="1" fieldPosition="0"/>
    </format>
    <format dxfId="1398">
      <pivotArea grandRow="1" outline="0" collapsedLevelsAreSubtotals="1" fieldPosition="0"/>
    </format>
    <format dxfId="1397">
      <pivotArea dataOnly="0" grandRow="1" fieldPosition="0"/>
    </format>
    <format dxfId="1396">
      <pivotArea dataOnly="0" grandRow="1" fieldPosition="0"/>
    </format>
    <format dxfId="1395">
      <pivotArea dataOnly="0" labelOnly="1" grandCol="1" outline="0" fieldPosition="0"/>
    </format>
    <format dxfId="1394">
      <pivotArea outline="0" collapsedLevelsAreSubtotals="1" fieldPosition="0"/>
    </format>
    <format dxfId="1393">
      <pivotArea dataOnly="0" labelOnly="1" fieldPosition="0">
        <references count="1">
          <reference field="52" count="0"/>
        </references>
      </pivotArea>
    </format>
    <format dxfId="1392">
      <pivotArea dataOnly="0" labelOnly="1" grandRow="1" outline="0" fieldPosition="0"/>
    </format>
    <format dxfId="1391">
      <pivotArea dataOnly="0" labelOnly="1" grandCol="1" outline="0" fieldPosition="0"/>
    </format>
    <format dxfId="1390">
      <pivotArea dataOnly="0" labelOnly="1" grandCol="1" outline="0" fieldPosition="0"/>
    </format>
    <format dxfId="138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7.xml><?xml version="1.0" encoding="utf-8"?>
<pivotTableDefinition xmlns="http://schemas.openxmlformats.org/spreadsheetml/2006/main" name="Tabla dinámica54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R116:S119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40"/>
  </rowFields>
  <rowItems count="2">
    <i>
      <x/>
    </i>
    <i t="grand">
      <x/>
    </i>
  </rowItems>
  <colItems count="1">
    <i/>
  </colItems>
  <pageFields count="2">
    <pageField fld="52" hier="-1"/>
    <pageField fld="107" hier="-1"/>
  </pageFields>
  <dataFields count="1">
    <dataField name="Cuenta de ENGANCHE 8" fld="97" subtotal="count" baseField="101" baseItem="0"/>
  </dataFields>
  <formats count="24">
    <format dxfId="1436">
      <pivotArea type="all" dataOnly="0" outline="0" fieldPosition="0"/>
    </format>
    <format dxfId="1435">
      <pivotArea type="all" dataOnly="0" outline="0" fieldPosition="0"/>
    </format>
    <format dxfId="1434">
      <pivotArea outline="0" collapsedLevelsAreSubtotals="1" fieldPosition="0"/>
    </format>
    <format dxfId="1433">
      <pivotArea dataOnly="0" labelOnly="1" grandRow="1" outline="0" fieldPosition="0"/>
    </format>
    <format dxfId="1432">
      <pivotArea grandRow="1" outline="0" collapsedLevelsAreSubtotals="1" fieldPosition="0"/>
    </format>
    <format dxfId="1431">
      <pivotArea dataOnly="0" labelOnly="1" grandRow="1" outline="0" fieldPosition="0"/>
    </format>
    <format dxfId="1430">
      <pivotArea grandRow="1" outline="0" collapsedLevelsAreSubtotals="1" fieldPosition="0"/>
    </format>
    <format dxfId="1429">
      <pivotArea dataOnly="0" labelOnly="1" grandRow="1" outline="0" fieldPosition="0"/>
    </format>
    <format dxfId="1428">
      <pivotArea field="12" type="button" dataOnly="0" labelOnly="1" outline="0"/>
    </format>
    <format dxfId="1427">
      <pivotArea dataOnly="0" labelOnly="1" grandCol="1" outline="0" fieldPosition="0"/>
    </format>
    <format dxfId="1426">
      <pivotArea dataOnly="0" labelOnly="1" grandCol="1" outline="0" fieldPosition="0"/>
    </format>
    <format dxfId="1425">
      <pivotArea dataOnly="0" labelOnly="1" grandCol="1" outline="0" fieldPosition="0"/>
    </format>
    <format dxfId="1424">
      <pivotArea dataOnly="0" labelOnly="1" grandCol="1" outline="0" fieldPosition="0"/>
    </format>
    <format dxfId="1423">
      <pivotArea grandRow="1" outline="0" collapsedLevelsAreSubtotals="1" fieldPosition="0"/>
    </format>
    <format dxfId="1422">
      <pivotArea grandRow="1" outline="0" collapsedLevelsAreSubtotals="1" fieldPosition="0"/>
    </format>
    <format dxfId="1421">
      <pivotArea dataOnly="0" grandRow="1" fieldPosition="0"/>
    </format>
    <format dxfId="1420">
      <pivotArea dataOnly="0" grandRow="1" fieldPosition="0"/>
    </format>
    <format dxfId="1419">
      <pivotArea dataOnly="0" labelOnly="1" grandCol="1" outline="0" fieldPosition="0"/>
    </format>
    <format dxfId="1418">
      <pivotArea outline="0" collapsedLevelsAreSubtotals="1" fieldPosition="0"/>
    </format>
    <format dxfId="1417">
      <pivotArea dataOnly="0" labelOnly="1" fieldPosition="0">
        <references count="1">
          <reference field="52" count="0"/>
        </references>
      </pivotArea>
    </format>
    <format dxfId="1416">
      <pivotArea dataOnly="0" labelOnly="1" grandRow="1" outline="0" fieldPosition="0"/>
    </format>
    <format dxfId="1415">
      <pivotArea dataOnly="0" labelOnly="1" grandCol="1" outline="0" fieldPosition="0"/>
    </format>
    <format dxfId="1414">
      <pivotArea dataOnly="0" labelOnly="1" grandCol="1" outline="0" fieldPosition="0"/>
    </format>
    <format dxfId="141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8.xml><?xml version="1.0" encoding="utf-8"?>
<pivotTableDefinition xmlns="http://schemas.openxmlformats.org/spreadsheetml/2006/main" name="Tabla dinámica7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L35:M38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7"/>
  </rowFields>
  <rowItems count="2">
    <i>
      <x v="1"/>
    </i>
    <i t="grand">
      <x/>
    </i>
  </rowItems>
  <colItems count="1">
    <i/>
  </colItems>
  <pageFields count="2">
    <pageField fld="52" hier="-1"/>
    <pageField fld="104" hier="-1"/>
  </pageFields>
  <dataFields count="1">
    <dataField name="Suma de ENGANCHE 5" fld="94" baseField="98" baseItem="1"/>
  </dataFields>
  <formats count="24">
    <format dxfId="1460">
      <pivotArea type="all" dataOnly="0" outline="0" fieldPosition="0"/>
    </format>
    <format dxfId="1459">
      <pivotArea type="all" dataOnly="0" outline="0" fieldPosition="0"/>
    </format>
    <format dxfId="1458">
      <pivotArea outline="0" collapsedLevelsAreSubtotals="1" fieldPosition="0"/>
    </format>
    <format dxfId="1457">
      <pivotArea dataOnly="0" labelOnly="1" grandRow="1" outline="0" fieldPosition="0"/>
    </format>
    <format dxfId="1456">
      <pivotArea grandRow="1" outline="0" collapsedLevelsAreSubtotals="1" fieldPosition="0"/>
    </format>
    <format dxfId="1455">
      <pivotArea dataOnly="0" labelOnly="1" grandRow="1" outline="0" fieldPosition="0"/>
    </format>
    <format dxfId="1454">
      <pivotArea grandRow="1" outline="0" collapsedLevelsAreSubtotals="1" fieldPosition="0"/>
    </format>
    <format dxfId="1453">
      <pivotArea dataOnly="0" labelOnly="1" grandRow="1" outline="0" fieldPosition="0"/>
    </format>
    <format dxfId="1452">
      <pivotArea field="12" type="button" dataOnly="0" labelOnly="1" outline="0"/>
    </format>
    <format dxfId="1451">
      <pivotArea dataOnly="0" labelOnly="1" grandCol="1" outline="0" fieldPosition="0"/>
    </format>
    <format dxfId="1450">
      <pivotArea dataOnly="0" labelOnly="1" grandCol="1" outline="0" fieldPosition="0"/>
    </format>
    <format dxfId="1449">
      <pivotArea dataOnly="0" labelOnly="1" grandCol="1" outline="0" fieldPosition="0"/>
    </format>
    <format dxfId="1448">
      <pivotArea dataOnly="0" labelOnly="1" grandCol="1" outline="0" fieldPosition="0"/>
    </format>
    <format dxfId="1447">
      <pivotArea grandRow="1" outline="0" collapsedLevelsAreSubtotals="1" fieldPosition="0"/>
    </format>
    <format dxfId="1446">
      <pivotArea grandRow="1" outline="0" collapsedLevelsAreSubtotals="1" fieldPosition="0"/>
    </format>
    <format dxfId="1445">
      <pivotArea dataOnly="0" grandRow="1" fieldPosition="0"/>
    </format>
    <format dxfId="1444">
      <pivotArea dataOnly="0" grandRow="1" fieldPosition="0"/>
    </format>
    <format dxfId="1443">
      <pivotArea dataOnly="0" labelOnly="1" grandCol="1" outline="0" fieldPosition="0"/>
    </format>
    <format dxfId="1442">
      <pivotArea outline="0" collapsedLevelsAreSubtotals="1" fieldPosition="0"/>
    </format>
    <format dxfId="1441">
      <pivotArea dataOnly="0" labelOnly="1" fieldPosition="0">
        <references count="1">
          <reference field="52" count="0"/>
        </references>
      </pivotArea>
    </format>
    <format dxfId="1440">
      <pivotArea dataOnly="0" labelOnly="1" grandRow="1" outline="0" fieldPosition="0"/>
    </format>
    <format dxfId="1439">
      <pivotArea dataOnly="0" labelOnly="1" grandCol="1" outline="0" fieldPosition="0"/>
    </format>
    <format dxfId="1438">
      <pivotArea dataOnly="0" labelOnly="1" grandCol="1" outline="0" fieldPosition="0"/>
    </format>
    <format dxfId="143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9.xml><?xml version="1.0" encoding="utf-8"?>
<pivotTableDefinition xmlns="http://schemas.openxmlformats.org/spreadsheetml/2006/main" name="Tabla dinámica48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F116:G119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4">
        <item x="1"/>
        <item x="2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4"/>
  </rowFields>
  <rowItems count="2">
    <i>
      <x v="3"/>
    </i>
    <i t="grand">
      <x/>
    </i>
  </rowItems>
  <colItems count="1">
    <i/>
  </colItems>
  <pageFields count="2">
    <pageField fld="52" hier="-1"/>
    <pageField fld="101" item="2" hier="-1"/>
  </pageFields>
  <dataFields count="1">
    <dataField name="Cuenta de ENGANCHE 2" fld="91" subtotal="count" baseField="95" baseItem="0"/>
  </dataFields>
  <formats count="24">
    <format dxfId="1484">
      <pivotArea type="all" dataOnly="0" outline="0" fieldPosition="0"/>
    </format>
    <format dxfId="1483">
      <pivotArea type="all" dataOnly="0" outline="0" fieldPosition="0"/>
    </format>
    <format dxfId="1482">
      <pivotArea outline="0" collapsedLevelsAreSubtotals="1" fieldPosition="0"/>
    </format>
    <format dxfId="1481">
      <pivotArea dataOnly="0" labelOnly="1" grandRow="1" outline="0" fieldPosition="0"/>
    </format>
    <format dxfId="1480">
      <pivotArea grandRow="1" outline="0" collapsedLevelsAreSubtotals="1" fieldPosition="0"/>
    </format>
    <format dxfId="1479">
      <pivotArea dataOnly="0" labelOnly="1" grandRow="1" outline="0" fieldPosition="0"/>
    </format>
    <format dxfId="1478">
      <pivotArea grandRow="1" outline="0" collapsedLevelsAreSubtotals="1" fieldPosition="0"/>
    </format>
    <format dxfId="1477">
      <pivotArea dataOnly="0" labelOnly="1" grandRow="1" outline="0" fieldPosition="0"/>
    </format>
    <format dxfId="1476">
      <pivotArea field="12" type="button" dataOnly="0" labelOnly="1" outline="0"/>
    </format>
    <format dxfId="1475">
      <pivotArea dataOnly="0" labelOnly="1" grandCol="1" outline="0" fieldPosition="0"/>
    </format>
    <format dxfId="1474">
      <pivotArea dataOnly="0" labelOnly="1" grandCol="1" outline="0" fieldPosition="0"/>
    </format>
    <format dxfId="1473">
      <pivotArea dataOnly="0" labelOnly="1" grandCol="1" outline="0" fieldPosition="0"/>
    </format>
    <format dxfId="1472">
      <pivotArea dataOnly="0" labelOnly="1" grandCol="1" outline="0" fieldPosition="0"/>
    </format>
    <format dxfId="1471">
      <pivotArea grandRow="1" outline="0" collapsedLevelsAreSubtotals="1" fieldPosition="0"/>
    </format>
    <format dxfId="1470">
      <pivotArea grandRow="1" outline="0" collapsedLevelsAreSubtotals="1" fieldPosition="0"/>
    </format>
    <format dxfId="1469">
      <pivotArea dataOnly="0" grandRow="1" fieldPosition="0"/>
    </format>
    <format dxfId="1468">
      <pivotArea dataOnly="0" grandRow="1" fieldPosition="0"/>
    </format>
    <format dxfId="1467">
      <pivotArea dataOnly="0" labelOnly="1" grandCol="1" outline="0" fieldPosition="0"/>
    </format>
    <format dxfId="1466">
      <pivotArea outline="0" collapsedLevelsAreSubtotals="1" fieldPosition="0"/>
    </format>
    <format dxfId="1465">
      <pivotArea dataOnly="0" labelOnly="1" fieldPosition="0">
        <references count="1">
          <reference field="52" count="0"/>
        </references>
      </pivotArea>
    </format>
    <format dxfId="1464">
      <pivotArea dataOnly="0" labelOnly="1" grandRow="1" outline="0" fieldPosition="0"/>
    </format>
    <format dxfId="1463">
      <pivotArea dataOnly="0" labelOnly="1" grandCol="1" outline="0" fieldPosition="0"/>
    </format>
    <format dxfId="1462">
      <pivotArea dataOnly="0" labelOnly="1" grandCol="1" outline="0" fieldPosition="0"/>
    </format>
    <format dxfId="146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0.xml><?xml version="1.0" encoding="utf-8"?>
<pivotTableDefinition xmlns="http://schemas.openxmlformats.org/spreadsheetml/2006/main" name="Tabla dinámica52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N116:O119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1"/>
        <item h="1"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8"/>
  </rowFields>
  <rowItems count="2">
    <i>
      <x/>
    </i>
    <i t="grand">
      <x/>
    </i>
  </rowItems>
  <colItems count="1">
    <i/>
  </colItems>
  <pageFields count="2">
    <pageField fld="52" hier="-1"/>
    <pageField fld="105" hier="-1"/>
  </pageFields>
  <dataFields count="1">
    <dataField name="Cuenta de ENGANCHE 6" fld="95" subtotal="count" baseField="99" baseItem="0"/>
  </dataFields>
  <formats count="24">
    <format dxfId="1508">
      <pivotArea type="all" dataOnly="0" outline="0" fieldPosition="0"/>
    </format>
    <format dxfId="1507">
      <pivotArea type="all" dataOnly="0" outline="0" fieldPosition="0"/>
    </format>
    <format dxfId="1506">
      <pivotArea outline="0" collapsedLevelsAreSubtotals="1" fieldPosition="0"/>
    </format>
    <format dxfId="1505">
      <pivotArea dataOnly="0" labelOnly="1" grandRow="1" outline="0" fieldPosition="0"/>
    </format>
    <format dxfId="1504">
      <pivotArea grandRow="1" outline="0" collapsedLevelsAreSubtotals="1" fieldPosition="0"/>
    </format>
    <format dxfId="1503">
      <pivotArea dataOnly="0" labelOnly="1" grandRow="1" outline="0" fieldPosition="0"/>
    </format>
    <format dxfId="1502">
      <pivotArea grandRow="1" outline="0" collapsedLevelsAreSubtotals="1" fieldPosition="0"/>
    </format>
    <format dxfId="1501">
      <pivotArea dataOnly="0" labelOnly="1" grandRow="1" outline="0" fieldPosition="0"/>
    </format>
    <format dxfId="1500">
      <pivotArea field="12" type="button" dataOnly="0" labelOnly="1" outline="0"/>
    </format>
    <format dxfId="1499">
      <pivotArea dataOnly="0" labelOnly="1" grandCol="1" outline="0" fieldPosition="0"/>
    </format>
    <format dxfId="1498">
      <pivotArea dataOnly="0" labelOnly="1" grandCol="1" outline="0" fieldPosition="0"/>
    </format>
    <format dxfId="1497">
      <pivotArea dataOnly="0" labelOnly="1" grandCol="1" outline="0" fieldPosition="0"/>
    </format>
    <format dxfId="1496">
      <pivotArea dataOnly="0" labelOnly="1" grandCol="1" outline="0" fieldPosition="0"/>
    </format>
    <format dxfId="1495">
      <pivotArea grandRow="1" outline="0" collapsedLevelsAreSubtotals="1" fieldPosition="0"/>
    </format>
    <format dxfId="1494">
      <pivotArea grandRow="1" outline="0" collapsedLevelsAreSubtotals="1" fieldPosition="0"/>
    </format>
    <format dxfId="1493">
      <pivotArea dataOnly="0" grandRow="1" fieldPosition="0"/>
    </format>
    <format dxfId="1492">
      <pivotArea dataOnly="0" grandRow="1" fieldPosition="0"/>
    </format>
    <format dxfId="1491">
      <pivotArea dataOnly="0" labelOnly="1" grandCol="1" outline="0" fieldPosition="0"/>
    </format>
    <format dxfId="1490">
      <pivotArea outline="0" collapsedLevelsAreSubtotals="1" fieldPosition="0"/>
    </format>
    <format dxfId="1489">
      <pivotArea dataOnly="0" labelOnly="1" fieldPosition="0">
        <references count="1">
          <reference field="52" count="0"/>
        </references>
      </pivotArea>
    </format>
    <format dxfId="1488">
      <pivotArea dataOnly="0" labelOnly="1" grandRow="1" outline="0" fieldPosition="0"/>
    </format>
    <format dxfId="1487">
      <pivotArea dataOnly="0" labelOnly="1" grandCol="1" outline="0" fieldPosition="0"/>
    </format>
    <format dxfId="1486">
      <pivotArea dataOnly="0" labelOnly="1" grandCol="1" outline="0" fieldPosition="0"/>
    </format>
    <format dxfId="148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1.xml><?xml version="1.0" encoding="utf-8"?>
<pivotTableDefinition xmlns="http://schemas.openxmlformats.org/spreadsheetml/2006/main" name="Tabla dinámica26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D59:E61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h="1" x="1"/>
        <item h="1"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3"/>
  </rowFields>
  <rowItems count="1">
    <i t="grand">
      <x/>
    </i>
  </rowItems>
  <colItems count="1">
    <i/>
  </colItems>
  <pageFields count="2">
    <pageField fld="52" hier="-1"/>
    <pageField fld="100" hier="-1"/>
  </pageFields>
  <dataFields count="1">
    <dataField name="Suma de ENGANCHE 1" fld="90" baseField="94" baseItem="1"/>
  </dataFields>
  <formats count="24">
    <format dxfId="1532">
      <pivotArea type="all" dataOnly="0" outline="0" fieldPosition="0"/>
    </format>
    <format dxfId="1531">
      <pivotArea type="all" dataOnly="0" outline="0" fieldPosition="0"/>
    </format>
    <format dxfId="1530">
      <pivotArea outline="0" collapsedLevelsAreSubtotals="1" fieldPosition="0"/>
    </format>
    <format dxfId="1529">
      <pivotArea dataOnly="0" labelOnly="1" grandRow="1" outline="0" fieldPosition="0"/>
    </format>
    <format dxfId="1528">
      <pivotArea grandRow="1" outline="0" collapsedLevelsAreSubtotals="1" fieldPosition="0"/>
    </format>
    <format dxfId="1527">
      <pivotArea dataOnly="0" labelOnly="1" grandRow="1" outline="0" fieldPosition="0"/>
    </format>
    <format dxfId="1526">
      <pivotArea grandRow="1" outline="0" collapsedLevelsAreSubtotals="1" fieldPosition="0"/>
    </format>
    <format dxfId="1525">
      <pivotArea dataOnly="0" labelOnly="1" grandRow="1" outline="0" fieldPosition="0"/>
    </format>
    <format dxfId="1524">
      <pivotArea field="12" type="button" dataOnly="0" labelOnly="1" outline="0"/>
    </format>
    <format dxfId="1523">
      <pivotArea dataOnly="0" labelOnly="1" grandCol="1" outline="0" fieldPosition="0"/>
    </format>
    <format dxfId="1522">
      <pivotArea dataOnly="0" labelOnly="1" grandCol="1" outline="0" fieldPosition="0"/>
    </format>
    <format dxfId="1521">
      <pivotArea dataOnly="0" labelOnly="1" grandCol="1" outline="0" fieldPosition="0"/>
    </format>
    <format dxfId="1520">
      <pivotArea dataOnly="0" labelOnly="1" grandCol="1" outline="0" fieldPosition="0"/>
    </format>
    <format dxfId="1519">
      <pivotArea grandRow="1" outline="0" collapsedLevelsAreSubtotals="1" fieldPosition="0"/>
    </format>
    <format dxfId="1518">
      <pivotArea grandRow="1" outline="0" collapsedLevelsAreSubtotals="1" fieldPosition="0"/>
    </format>
    <format dxfId="1517">
      <pivotArea dataOnly="0" grandRow="1" fieldPosition="0"/>
    </format>
    <format dxfId="1516">
      <pivotArea dataOnly="0" grandRow="1" fieldPosition="0"/>
    </format>
    <format dxfId="1515">
      <pivotArea dataOnly="0" labelOnly="1" grandCol="1" outline="0" fieldPosition="0"/>
    </format>
    <format dxfId="1514">
      <pivotArea outline="0" collapsedLevelsAreSubtotals="1" fieldPosition="0"/>
    </format>
    <format dxfId="1513">
      <pivotArea dataOnly="0" labelOnly="1" fieldPosition="0">
        <references count="1">
          <reference field="52" count="0"/>
        </references>
      </pivotArea>
    </format>
    <format dxfId="1512">
      <pivotArea dataOnly="0" labelOnly="1" grandRow="1" outline="0" fieldPosition="0"/>
    </format>
    <format dxfId="1511">
      <pivotArea dataOnly="0" labelOnly="1" grandCol="1" outline="0" fieldPosition="0"/>
    </format>
    <format dxfId="1510">
      <pivotArea dataOnly="0" labelOnly="1" grandCol="1" outline="0" fieldPosition="0"/>
    </format>
    <format dxfId="150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2.xml><?xml version="1.0" encoding="utf-8"?>
<pivotTableDefinition xmlns="http://schemas.openxmlformats.org/spreadsheetml/2006/main" name="Tabla dinámica6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J35:K39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6"/>
  </rowFields>
  <rowItems count="3">
    <i>
      <x/>
    </i>
    <i>
      <x v="1"/>
    </i>
    <i t="grand">
      <x/>
    </i>
  </rowItems>
  <colItems count="1">
    <i/>
  </colItems>
  <pageFields count="2">
    <pageField fld="52" hier="-1"/>
    <pageField fld="103" item="1" hier="-1"/>
  </pageFields>
  <dataFields count="1">
    <dataField name="Suma de ENGANCHE 4" fld="93" baseField="97" baseItem="1"/>
  </dataFields>
  <formats count="24">
    <format dxfId="1556">
      <pivotArea type="all" dataOnly="0" outline="0" fieldPosition="0"/>
    </format>
    <format dxfId="1555">
      <pivotArea type="all" dataOnly="0" outline="0" fieldPosition="0"/>
    </format>
    <format dxfId="1554">
      <pivotArea outline="0" collapsedLevelsAreSubtotals="1" fieldPosition="0"/>
    </format>
    <format dxfId="1553">
      <pivotArea dataOnly="0" labelOnly="1" grandRow="1" outline="0" fieldPosition="0"/>
    </format>
    <format dxfId="1552">
      <pivotArea grandRow="1" outline="0" collapsedLevelsAreSubtotals="1" fieldPosition="0"/>
    </format>
    <format dxfId="1551">
      <pivotArea dataOnly="0" labelOnly="1" grandRow="1" outline="0" fieldPosition="0"/>
    </format>
    <format dxfId="1550">
      <pivotArea grandRow="1" outline="0" collapsedLevelsAreSubtotals="1" fieldPosition="0"/>
    </format>
    <format dxfId="1549">
      <pivotArea dataOnly="0" labelOnly="1" grandRow="1" outline="0" fieldPosition="0"/>
    </format>
    <format dxfId="1548">
      <pivotArea field="12" type="button" dataOnly="0" labelOnly="1" outline="0"/>
    </format>
    <format dxfId="1547">
      <pivotArea dataOnly="0" labelOnly="1" grandCol="1" outline="0" fieldPosition="0"/>
    </format>
    <format dxfId="1546">
      <pivotArea dataOnly="0" labelOnly="1" grandCol="1" outline="0" fieldPosition="0"/>
    </format>
    <format dxfId="1545">
      <pivotArea dataOnly="0" labelOnly="1" grandCol="1" outline="0" fieldPosition="0"/>
    </format>
    <format dxfId="1544">
      <pivotArea dataOnly="0" labelOnly="1" grandCol="1" outline="0" fieldPosition="0"/>
    </format>
    <format dxfId="1543">
      <pivotArea grandRow="1" outline="0" collapsedLevelsAreSubtotals="1" fieldPosition="0"/>
    </format>
    <format dxfId="1542">
      <pivotArea grandRow="1" outline="0" collapsedLevelsAreSubtotals="1" fieldPosition="0"/>
    </format>
    <format dxfId="1541">
      <pivotArea dataOnly="0" grandRow="1" fieldPosition="0"/>
    </format>
    <format dxfId="1540">
      <pivotArea dataOnly="0" grandRow="1" fieldPosition="0"/>
    </format>
    <format dxfId="1539">
      <pivotArea dataOnly="0" labelOnly="1" grandCol="1" outline="0" fieldPosition="0"/>
    </format>
    <format dxfId="1538">
      <pivotArea outline="0" collapsedLevelsAreSubtotals="1" fieldPosition="0"/>
    </format>
    <format dxfId="1537">
      <pivotArea dataOnly="0" labelOnly="1" fieldPosition="0">
        <references count="1">
          <reference field="52" count="0"/>
        </references>
      </pivotArea>
    </format>
    <format dxfId="1536">
      <pivotArea dataOnly="0" labelOnly="1" grandRow="1" outline="0" fieldPosition="0"/>
    </format>
    <format dxfId="1535">
      <pivotArea dataOnly="0" labelOnly="1" grandCol="1" outline="0" fieldPosition="0"/>
    </format>
    <format dxfId="1534">
      <pivotArea dataOnly="0" labelOnly="1" grandCol="1" outline="0" fieldPosition="0"/>
    </format>
    <format dxfId="153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3.xml><?xml version="1.0" encoding="utf-8"?>
<pivotTableDefinition xmlns="http://schemas.openxmlformats.org/spreadsheetml/2006/main" name="Tabla dinámica59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R92:S95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40"/>
  </rowFields>
  <rowItems count="2">
    <i>
      <x/>
    </i>
    <i t="grand">
      <x/>
    </i>
  </rowItems>
  <colItems count="1">
    <i/>
  </colItems>
  <pageFields count="2">
    <pageField fld="52" hier="-1"/>
    <pageField fld="107" item="0" hier="-1"/>
  </pageFields>
  <dataFields count="1">
    <dataField name="Cuenta de ENGANCHE 8" fld="97" subtotal="count" baseField="101" baseItem="0"/>
  </dataFields>
  <formats count="24">
    <format dxfId="1580">
      <pivotArea type="all" dataOnly="0" outline="0" fieldPosition="0"/>
    </format>
    <format dxfId="1579">
      <pivotArea type="all" dataOnly="0" outline="0" fieldPosition="0"/>
    </format>
    <format dxfId="1578">
      <pivotArea outline="0" collapsedLevelsAreSubtotals="1" fieldPosition="0"/>
    </format>
    <format dxfId="1577">
      <pivotArea dataOnly="0" labelOnly="1" grandRow="1" outline="0" fieldPosition="0"/>
    </format>
    <format dxfId="1576">
      <pivotArea grandRow="1" outline="0" collapsedLevelsAreSubtotals="1" fieldPosition="0"/>
    </format>
    <format dxfId="1575">
      <pivotArea dataOnly="0" labelOnly="1" grandRow="1" outline="0" fieldPosition="0"/>
    </format>
    <format dxfId="1574">
      <pivotArea grandRow="1" outline="0" collapsedLevelsAreSubtotals="1" fieldPosition="0"/>
    </format>
    <format dxfId="1573">
      <pivotArea dataOnly="0" labelOnly="1" grandRow="1" outline="0" fieldPosition="0"/>
    </format>
    <format dxfId="1572">
      <pivotArea field="12" type="button" dataOnly="0" labelOnly="1" outline="0"/>
    </format>
    <format dxfId="1571">
      <pivotArea dataOnly="0" labelOnly="1" grandCol="1" outline="0" fieldPosition="0"/>
    </format>
    <format dxfId="1570">
      <pivotArea dataOnly="0" labelOnly="1" grandCol="1" outline="0" fieldPosition="0"/>
    </format>
    <format dxfId="1569">
      <pivotArea dataOnly="0" labelOnly="1" grandCol="1" outline="0" fieldPosition="0"/>
    </format>
    <format dxfId="1568">
      <pivotArea dataOnly="0" labelOnly="1" grandCol="1" outline="0" fieldPosition="0"/>
    </format>
    <format dxfId="1567">
      <pivotArea grandRow="1" outline="0" collapsedLevelsAreSubtotals="1" fieldPosition="0"/>
    </format>
    <format dxfId="1566">
      <pivotArea grandRow="1" outline="0" collapsedLevelsAreSubtotals="1" fieldPosition="0"/>
    </format>
    <format dxfId="1565">
      <pivotArea dataOnly="0" grandRow="1" fieldPosition="0"/>
    </format>
    <format dxfId="1564">
      <pivotArea dataOnly="0" grandRow="1" fieldPosition="0"/>
    </format>
    <format dxfId="1563">
      <pivotArea dataOnly="0" labelOnly="1" grandCol="1" outline="0" fieldPosition="0"/>
    </format>
    <format dxfId="1562">
      <pivotArea outline="0" collapsedLevelsAreSubtotals="1" fieldPosition="0"/>
    </format>
    <format dxfId="1561">
      <pivotArea dataOnly="0" labelOnly="1" fieldPosition="0">
        <references count="1">
          <reference field="52" count="0"/>
        </references>
      </pivotArea>
    </format>
    <format dxfId="1560">
      <pivotArea dataOnly="0" labelOnly="1" grandRow="1" outline="0" fieldPosition="0"/>
    </format>
    <format dxfId="1559">
      <pivotArea dataOnly="0" labelOnly="1" grandCol="1" outline="0" fieldPosition="0"/>
    </format>
    <format dxfId="1558">
      <pivotArea dataOnly="0" labelOnly="1" grandCol="1" outline="0" fieldPosition="0"/>
    </format>
    <format dxfId="155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4.xml><?xml version="1.0" encoding="utf-8"?>
<pivotTableDefinition xmlns="http://schemas.openxmlformats.org/spreadsheetml/2006/main" name="Tabla dinámica40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P135:Q138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9"/>
  </rowFields>
  <rowItems count="2">
    <i>
      <x/>
    </i>
    <i t="grand">
      <x/>
    </i>
  </rowItems>
  <colItems count="1">
    <i/>
  </colItems>
  <pageFields count="2">
    <pageField fld="52" hier="-1"/>
    <pageField fld="106" hier="-1"/>
  </pageFields>
  <dataFields count="1">
    <dataField name="Cuenta de ENGANCHE 7" fld="96" subtotal="count" baseField="100" baseItem="0"/>
  </dataFields>
  <formats count="24">
    <format dxfId="1604">
      <pivotArea type="all" dataOnly="0" outline="0" fieldPosition="0"/>
    </format>
    <format dxfId="1603">
      <pivotArea type="all" dataOnly="0" outline="0" fieldPosition="0"/>
    </format>
    <format dxfId="1602">
      <pivotArea outline="0" collapsedLevelsAreSubtotals="1" fieldPosition="0"/>
    </format>
    <format dxfId="1601">
      <pivotArea dataOnly="0" labelOnly="1" grandRow="1" outline="0" fieldPosition="0"/>
    </format>
    <format dxfId="1600">
      <pivotArea grandRow="1" outline="0" collapsedLevelsAreSubtotals="1" fieldPosition="0"/>
    </format>
    <format dxfId="1599">
      <pivotArea dataOnly="0" labelOnly="1" grandRow="1" outline="0" fieldPosition="0"/>
    </format>
    <format dxfId="1598">
      <pivotArea grandRow="1" outline="0" collapsedLevelsAreSubtotals="1" fieldPosition="0"/>
    </format>
    <format dxfId="1597">
      <pivotArea dataOnly="0" labelOnly="1" grandRow="1" outline="0" fieldPosition="0"/>
    </format>
    <format dxfId="1596">
      <pivotArea field="12" type="button" dataOnly="0" labelOnly="1" outline="0"/>
    </format>
    <format dxfId="1595">
      <pivotArea dataOnly="0" labelOnly="1" grandCol="1" outline="0" fieldPosition="0"/>
    </format>
    <format dxfId="1594">
      <pivotArea dataOnly="0" labelOnly="1" grandCol="1" outline="0" fieldPosition="0"/>
    </format>
    <format dxfId="1593">
      <pivotArea dataOnly="0" labelOnly="1" grandCol="1" outline="0" fieldPosition="0"/>
    </format>
    <format dxfId="1592">
      <pivotArea dataOnly="0" labelOnly="1" grandCol="1" outline="0" fieldPosition="0"/>
    </format>
    <format dxfId="1591">
      <pivotArea grandRow="1" outline="0" collapsedLevelsAreSubtotals="1" fieldPosition="0"/>
    </format>
    <format dxfId="1590">
      <pivotArea grandRow="1" outline="0" collapsedLevelsAreSubtotals="1" fieldPosition="0"/>
    </format>
    <format dxfId="1589">
      <pivotArea dataOnly="0" grandRow="1" fieldPosition="0"/>
    </format>
    <format dxfId="1588">
      <pivotArea dataOnly="0" grandRow="1" fieldPosition="0"/>
    </format>
    <format dxfId="1587">
      <pivotArea dataOnly="0" labelOnly="1" grandCol="1" outline="0" fieldPosition="0"/>
    </format>
    <format dxfId="1586">
      <pivotArea outline="0" collapsedLevelsAreSubtotals="1" fieldPosition="0"/>
    </format>
    <format dxfId="1585">
      <pivotArea dataOnly="0" labelOnly="1" fieldPosition="0">
        <references count="1">
          <reference field="52" count="0"/>
        </references>
      </pivotArea>
    </format>
    <format dxfId="1584">
      <pivotArea dataOnly="0" labelOnly="1" grandRow="1" outline="0" fieldPosition="0"/>
    </format>
    <format dxfId="1583">
      <pivotArea dataOnly="0" labelOnly="1" grandCol="1" outline="0" fieldPosition="0"/>
    </format>
    <format dxfId="1582">
      <pivotArea dataOnly="0" labelOnly="1" grandCol="1" outline="0" fieldPosition="0"/>
    </format>
    <format dxfId="158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5.xml><?xml version="1.0" encoding="utf-8"?>
<pivotTableDefinition xmlns="http://schemas.openxmlformats.org/spreadsheetml/2006/main" name="Tabla dinámica42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L135:M138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7"/>
  </rowFields>
  <rowItems count="2">
    <i>
      <x v="1"/>
    </i>
    <i t="grand">
      <x/>
    </i>
  </rowItems>
  <colItems count="1">
    <i/>
  </colItems>
  <pageFields count="2">
    <pageField fld="52" hier="-1"/>
    <pageField fld="104" hier="-1"/>
  </pageFields>
  <dataFields count="1">
    <dataField name="Cuenta de ENGANCHE 5" fld="94" subtotal="count" baseField="98" baseItem="1"/>
  </dataFields>
  <formats count="24">
    <format dxfId="1628">
      <pivotArea type="all" dataOnly="0" outline="0" fieldPosition="0"/>
    </format>
    <format dxfId="1627">
      <pivotArea type="all" dataOnly="0" outline="0" fieldPosition="0"/>
    </format>
    <format dxfId="1626">
      <pivotArea outline="0" collapsedLevelsAreSubtotals="1" fieldPosition="0"/>
    </format>
    <format dxfId="1625">
      <pivotArea dataOnly="0" labelOnly="1" grandRow="1" outline="0" fieldPosition="0"/>
    </format>
    <format dxfId="1624">
      <pivotArea grandRow="1" outline="0" collapsedLevelsAreSubtotals="1" fieldPosition="0"/>
    </format>
    <format dxfId="1623">
      <pivotArea dataOnly="0" labelOnly="1" grandRow="1" outline="0" fieldPosition="0"/>
    </format>
    <format dxfId="1622">
      <pivotArea grandRow="1" outline="0" collapsedLevelsAreSubtotals="1" fieldPosition="0"/>
    </format>
    <format dxfId="1621">
      <pivotArea dataOnly="0" labelOnly="1" grandRow="1" outline="0" fieldPosition="0"/>
    </format>
    <format dxfId="1620">
      <pivotArea field="12" type="button" dataOnly="0" labelOnly="1" outline="0"/>
    </format>
    <format dxfId="1619">
      <pivotArea dataOnly="0" labelOnly="1" grandCol="1" outline="0" fieldPosition="0"/>
    </format>
    <format dxfId="1618">
      <pivotArea dataOnly="0" labelOnly="1" grandCol="1" outline="0" fieldPosition="0"/>
    </format>
    <format dxfId="1617">
      <pivotArea dataOnly="0" labelOnly="1" grandCol="1" outline="0" fieldPosition="0"/>
    </format>
    <format dxfId="1616">
      <pivotArea dataOnly="0" labelOnly="1" grandCol="1" outline="0" fieldPosition="0"/>
    </format>
    <format dxfId="1615">
      <pivotArea grandRow="1" outline="0" collapsedLevelsAreSubtotals="1" fieldPosition="0"/>
    </format>
    <format dxfId="1614">
      <pivotArea grandRow="1" outline="0" collapsedLevelsAreSubtotals="1" fieldPosition="0"/>
    </format>
    <format dxfId="1613">
      <pivotArea dataOnly="0" grandRow="1" fieldPosition="0"/>
    </format>
    <format dxfId="1612">
      <pivotArea dataOnly="0" grandRow="1" fieldPosition="0"/>
    </format>
    <format dxfId="1611">
      <pivotArea dataOnly="0" labelOnly="1" grandCol="1" outline="0" fieldPosition="0"/>
    </format>
    <format dxfId="1610">
      <pivotArea outline="0" collapsedLevelsAreSubtotals="1" fieldPosition="0"/>
    </format>
    <format dxfId="1609">
      <pivotArea dataOnly="0" labelOnly="1" fieldPosition="0">
        <references count="1">
          <reference field="52" count="0"/>
        </references>
      </pivotArea>
    </format>
    <format dxfId="1608">
      <pivotArea dataOnly="0" labelOnly="1" grandRow="1" outline="0" fieldPosition="0"/>
    </format>
    <format dxfId="1607">
      <pivotArea dataOnly="0" labelOnly="1" grandCol="1" outline="0" fieldPosition="0"/>
    </format>
    <format dxfId="1606">
      <pivotArea dataOnly="0" labelOnly="1" grandCol="1" outline="0" fieldPosition="0"/>
    </format>
    <format dxfId="160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6.xml><?xml version="1.0" encoding="utf-8"?>
<pivotTableDefinition xmlns="http://schemas.openxmlformats.org/spreadsheetml/2006/main" name="Tabla dinámica17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V59:W62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42"/>
  </rowFields>
  <rowItems count="2">
    <i>
      <x/>
    </i>
    <i t="grand">
      <x/>
    </i>
  </rowItems>
  <colItems count="1">
    <i/>
  </colItems>
  <pageFields count="2">
    <pageField fld="52" hier="-1"/>
    <pageField fld="109" hier="-1"/>
  </pageFields>
  <dataFields count="1">
    <dataField name="Suma de ENGANCHE 10" fld="99" baseField="103" baseItem="0"/>
  </dataFields>
  <formats count="24">
    <format dxfId="1652">
      <pivotArea type="all" dataOnly="0" outline="0" fieldPosition="0"/>
    </format>
    <format dxfId="1651">
      <pivotArea type="all" dataOnly="0" outline="0" fieldPosition="0"/>
    </format>
    <format dxfId="1650">
      <pivotArea outline="0" collapsedLevelsAreSubtotals="1" fieldPosition="0"/>
    </format>
    <format dxfId="1649">
      <pivotArea dataOnly="0" labelOnly="1" grandRow="1" outline="0" fieldPosition="0"/>
    </format>
    <format dxfId="1648">
      <pivotArea grandRow="1" outline="0" collapsedLevelsAreSubtotals="1" fieldPosition="0"/>
    </format>
    <format dxfId="1647">
      <pivotArea dataOnly="0" labelOnly="1" grandRow="1" outline="0" fieldPosition="0"/>
    </format>
    <format dxfId="1646">
      <pivotArea grandRow="1" outline="0" collapsedLevelsAreSubtotals="1" fieldPosition="0"/>
    </format>
    <format dxfId="1645">
      <pivotArea dataOnly="0" labelOnly="1" grandRow="1" outline="0" fieldPosition="0"/>
    </format>
    <format dxfId="1644">
      <pivotArea field="12" type="button" dataOnly="0" labelOnly="1" outline="0"/>
    </format>
    <format dxfId="1643">
      <pivotArea dataOnly="0" labelOnly="1" grandCol="1" outline="0" fieldPosition="0"/>
    </format>
    <format dxfId="1642">
      <pivotArea dataOnly="0" labelOnly="1" grandCol="1" outline="0" fieldPosition="0"/>
    </format>
    <format dxfId="1641">
      <pivotArea dataOnly="0" labelOnly="1" grandCol="1" outline="0" fieldPosition="0"/>
    </format>
    <format dxfId="1640">
      <pivotArea dataOnly="0" labelOnly="1" grandCol="1" outline="0" fieldPosition="0"/>
    </format>
    <format dxfId="1639">
      <pivotArea grandRow="1" outline="0" collapsedLevelsAreSubtotals="1" fieldPosition="0"/>
    </format>
    <format dxfId="1638">
      <pivotArea grandRow="1" outline="0" collapsedLevelsAreSubtotals="1" fieldPosition="0"/>
    </format>
    <format dxfId="1637">
      <pivotArea dataOnly="0" grandRow="1" fieldPosition="0"/>
    </format>
    <format dxfId="1636">
      <pivotArea dataOnly="0" grandRow="1" fieldPosition="0"/>
    </format>
    <format dxfId="1635">
      <pivotArea dataOnly="0" labelOnly="1" grandCol="1" outline="0" fieldPosition="0"/>
    </format>
    <format dxfId="1634">
      <pivotArea outline="0" collapsedLevelsAreSubtotals="1" fieldPosition="0"/>
    </format>
    <format dxfId="1633">
      <pivotArea dataOnly="0" labelOnly="1" fieldPosition="0">
        <references count="1">
          <reference field="52" count="0"/>
        </references>
      </pivotArea>
    </format>
    <format dxfId="1632">
      <pivotArea dataOnly="0" labelOnly="1" grandRow="1" outline="0" fieldPosition="0"/>
    </format>
    <format dxfId="1631">
      <pivotArea dataOnly="0" labelOnly="1" grandCol="1" outline="0" fieldPosition="0"/>
    </format>
    <format dxfId="1630">
      <pivotArea dataOnly="0" labelOnly="1" grandCol="1" outline="0" fieldPosition="0"/>
    </format>
    <format dxfId="162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7.xml><?xml version="1.0" encoding="utf-8"?>
<pivotTableDefinition xmlns="http://schemas.openxmlformats.org/spreadsheetml/2006/main" name="Tabla dinámica64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H92:I95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">
        <item x="1"/>
        <item x="2"/>
        <item x="0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5"/>
  </rowFields>
  <rowItems count="2">
    <i>
      <x/>
    </i>
    <i t="grand">
      <x/>
    </i>
  </rowItems>
  <colItems count="1">
    <i/>
  </colItems>
  <pageFields count="2">
    <pageField fld="52" hier="-1"/>
    <pageField fld="102" item="1" hier="-1"/>
  </pageFields>
  <dataFields count="1">
    <dataField name="Cuenta de ENGANCHE 3" fld="92" subtotal="count" baseField="96" baseItem="0"/>
  </dataFields>
  <formats count="24">
    <format dxfId="1676">
      <pivotArea type="all" dataOnly="0" outline="0" fieldPosition="0"/>
    </format>
    <format dxfId="1675">
      <pivotArea type="all" dataOnly="0" outline="0" fieldPosition="0"/>
    </format>
    <format dxfId="1674">
      <pivotArea outline="0" collapsedLevelsAreSubtotals="1" fieldPosition="0"/>
    </format>
    <format dxfId="1673">
      <pivotArea dataOnly="0" labelOnly="1" grandRow="1" outline="0" fieldPosition="0"/>
    </format>
    <format dxfId="1672">
      <pivotArea grandRow="1" outline="0" collapsedLevelsAreSubtotals="1" fieldPosition="0"/>
    </format>
    <format dxfId="1671">
      <pivotArea dataOnly="0" labelOnly="1" grandRow="1" outline="0" fieldPosition="0"/>
    </format>
    <format dxfId="1670">
      <pivotArea grandRow="1" outline="0" collapsedLevelsAreSubtotals="1" fieldPosition="0"/>
    </format>
    <format dxfId="1669">
      <pivotArea dataOnly="0" labelOnly="1" grandRow="1" outline="0" fieldPosition="0"/>
    </format>
    <format dxfId="1668">
      <pivotArea field="12" type="button" dataOnly="0" labelOnly="1" outline="0"/>
    </format>
    <format dxfId="1667">
      <pivotArea dataOnly="0" labelOnly="1" grandCol="1" outline="0" fieldPosition="0"/>
    </format>
    <format dxfId="1666">
      <pivotArea dataOnly="0" labelOnly="1" grandCol="1" outline="0" fieldPosition="0"/>
    </format>
    <format dxfId="1665">
      <pivotArea dataOnly="0" labelOnly="1" grandCol="1" outline="0" fieldPosition="0"/>
    </format>
    <format dxfId="1664">
      <pivotArea dataOnly="0" labelOnly="1" grandCol="1" outline="0" fieldPosition="0"/>
    </format>
    <format dxfId="1663">
      <pivotArea grandRow="1" outline="0" collapsedLevelsAreSubtotals="1" fieldPosition="0"/>
    </format>
    <format dxfId="1662">
      <pivotArea grandRow="1" outline="0" collapsedLevelsAreSubtotals="1" fieldPosition="0"/>
    </format>
    <format dxfId="1661">
      <pivotArea dataOnly="0" grandRow="1" fieldPosition="0"/>
    </format>
    <format dxfId="1660">
      <pivotArea dataOnly="0" grandRow="1" fieldPosition="0"/>
    </format>
    <format dxfId="1659">
      <pivotArea dataOnly="0" labelOnly="1" grandCol="1" outline="0" fieldPosition="0"/>
    </format>
    <format dxfId="1658">
      <pivotArea outline="0" collapsedLevelsAreSubtotals="1" fieldPosition="0"/>
    </format>
    <format dxfId="1657">
      <pivotArea dataOnly="0" labelOnly="1" fieldPosition="0">
        <references count="1">
          <reference field="52" count="0"/>
        </references>
      </pivotArea>
    </format>
    <format dxfId="1656">
      <pivotArea dataOnly="0" labelOnly="1" grandRow="1" outline="0" fieldPosition="0"/>
    </format>
    <format dxfId="1655">
      <pivotArea dataOnly="0" labelOnly="1" grandCol="1" outline="0" fieldPosition="0"/>
    </format>
    <format dxfId="1654">
      <pivotArea dataOnly="0" labelOnly="1" grandCol="1" outline="0" fieldPosition="0"/>
    </format>
    <format dxfId="165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8.xml><?xml version="1.0" encoding="utf-8"?>
<pivotTableDefinition xmlns="http://schemas.openxmlformats.org/spreadsheetml/2006/main" name="Tabla dinámica3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F35:G38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4">
        <item x="1"/>
        <item x="2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4"/>
  </rowFields>
  <rowItems count="2">
    <i>
      <x v="2"/>
    </i>
    <i t="grand">
      <x/>
    </i>
  </rowItems>
  <colItems count="1">
    <i/>
  </colItems>
  <pageFields count="2">
    <pageField fld="52" hier="-1"/>
    <pageField fld="101" item="1" hier="-1"/>
  </pageFields>
  <dataFields count="1">
    <dataField name="Suma de ENGANCHE 2" fld="91" baseField="95" baseItem="3"/>
  </dataFields>
  <formats count="24">
    <format dxfId="1700">
      <pivotArea type="all" dataOnly="0" outline="0" fieldPosition="0"/>
    </format>
    <format dxfId="1699">
      <pivotArea type="all" dataOnly="0" outline="0" fieldPosition="0"/>
    </format>
    <format dxfId="1698">
      <pivotArea outline="0" collapsedLevelsAreSubtotals="1" fieldPosition="0"/>
    </format>
    <format dxfId="1697">
      <pivotArea dataOnly="0" labelOnly="1" grandRow="1" outline="0" fieldPosition="0"/>
    </format>
    <format dxfId="1696">
      <pivotArea grandRow="1" outline="0" collapsedLevelsAreSubtotals="1" fieldPosition="0"/>
    </format>
    <format dxfId="1695">
      <pivotArea dataOnly="0" labelOnly="1" grandRow="1" outline="0" fieldPosition="0"/>
    </format>
    <format dxfId="1694">
      <pivotArea grandRow="1" outline="0" collapsedLevelsAreSubtotals="1" fieldPosition="0"/>
    </format>
    <format dxfId="1693">
      <pivotArea dataOnly="0" labelOnly="1" grandRow="1" outline="0" fieldPosition="0"/>
    </format>
    <format dxfId="1692">
      <pivotArea field="12" type="button" dataOnly="0" labelOnly="1" outline="0"/>
    </format>
    <format dxfId="1691">
      <pivotArea dataOnly="0" labelOnly="1" grandCol="1" outline="0" fieldPosition="0"/>
    </format>
    <format dxfId="1690">
      <pivotArea dataOnly="0" labelOnly="1" grandCol="1" outline="0" fieldPosition="0"/>
    </format>
    <format dxfId="1689">
      <pivotArea dataOnly="0" labelOnly="1" grandCol="1" outline="0" fieldPosition="0"/>
    </format>
    <format dxfId="1688">
      <pivotArea dataOnly="0" labelOnly="1" grandCol="1" outline="0" fieldPosition="0"/>
    </format>
    <format dxfId="1687">
      <pivotArea grandRow="1" outline="0" collapsedLevelsAreSubtotals="1" fieldPosition="0"/>
    </format>
    <format dxfId="1686">
      <pivotArea grandRow="1" outline="0" collapsedLevelsAreSubtotals="1" fieldPosition="0"/>
    </format>
    <format dxfId="1685">
      <pivotArea dataOnly="0" grandRow="1" fieldPosition="0"/>
    </format>
    <format dxfId="1684">
      <pivotArea dataOnly="0" grandRow="1" fieldPosition="0"/>
    </format>
    <format dxfId="1683">
      <pivotArea dataOnly="0" labelOnly="1" grandCol="1" outline="0" fieldPosition="0"/>
    </format>
    <format dxfId="1682">
      <pivotArea outline="0" collapsedLevelsAreSubtotals="1" fieldPosition="0"/>
    </format>
    <format dxfId="1681">
      <pivotArea dataOnly="0" labelOnly="1" fieldPosition="0">
        <references count="1">
          <reference field="52" count="0"/>
        </references>
      </pivotArea>
    </format>
    <format dxfId="1680">
      <pivotArea dataOnly="0" labelOnly="1" grandRow="1" outline="0" fieldPosition="0"/>
    </format>
    <format dxfId="1679">
      <pivotArea dataOnly="0" labelOnly="1" grandCol="1" outline="0" fieldPosition="0"/>
    </format>
    <format dxfId="1678">
      <pivotArea dataOnly="0" labelOnly="1" grandCol="1" outline="0" fieldPosition="0"/>
    </format>
    <format dxfId="167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9.xml><?xml version="1.0" encoding="utf-8"?>
<pivotTableDefinition xmlns="http://schemas.openxmlformats.org/spreadsheetml/2006/main" name="Tabla dinámica18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T59:U62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41"/>
  </rowFields>
  <rowItems count="2">
    <i>
      <x/>
    </i>
    <i t="grand">
      <x/>
    </i>
  </rowItems>
  <colItems count="1">
    <i/>
  </colItems>
  <pageFields count="2">
    <pageField fld="52" hier="-1"/>
    <pageField fld="108" hier="-1"/>
  </pageFields>
  <dataFields count="1">
    <dataField name="Suma de ENGANCHE 9" fld="98" baseField="102" baseItem="0"/>
  </dataFields>
  <formats count="24">
    <format dxfId="1724">
      <pivotArea type="all" dataOnly="0" outline="0" fieldPosition="0"/>
    </format>
    <format dxfId="1723">
      <pivotArea type="all" dataOnly="0" outline="0" fieldPosition="0"/>
    </format>
    <format dxfId="1722">
      <pivotArea outline="0" collapsedLevelsAreSubtotals="1" fieldPosition="0"/>
    </format>
    <format dxfId="1721">
      <pivotArea dataOnly="0" labelOnly="1" grandRow="1" outline="0" fieldPosition="0"/>
    </format>
    <format dxfId="1720">
      <pivotArea grandRow="1" outline="0" collapsedLevelsAreSubtotals="1" fieldPosition="0"/>
    </format>
    <format dxfId="1719">
      <pivotArea dataOnly="0" labelOnly="1" grandRow="1" outline="0" fieldPosition="0"/>
    </format>
    <format dxfId="1718">
      <pivotArea grandRow="1" outline="0" collapsedLevelsAreSubtotals="1" fieldPosition="0"/>
    </format>
    <format dxfId="1717">
      <pivotArea dataOnly="0" labelOnly="1" grandRow="1" outline="0" fieldPosition="0"/>
    </format>
    <format dxfId="1716">
      <pivotArea field="12" type="button" dataOnly="0" labelOnly="1" outline="0"/>
    </format>
    <format dxfId="1715">
      <pivotArea dataOnly="0" labelOnly="1" grandCol="1" outline="0" fieldPosition="0"/>
    </format>
    <format dxfId="1714">
      <pivotArea dataOnly="0" labelOnly="1" grandCol="1" outline="0" fieldPosition="0"/>
    </format>
    <format dxfId="1713">
      <pivotArea dataOnly="0" labelOnly="1" grandCol="1" outline="0" fieldPosition="0"/>
    </format>
    <format dxfId="1712">
      <pivotArea dataOnly="0" labelOnly="1" grandCol="1" outline="0" fieldPosition="0"/>
    </format>
    <format dxfId="1711">
      <pivotArea grandRow="1" outline="0" collapsedLevelsAreSubtotals="1" fieldPosition="0"/>
    </format>
    <format dxfId="1710">
      <pivotArea grandRow="1" outline="0" collapsedLevelsAreSubtotals="1" fieldPosition="0"/>
    </format>
    <format dxfId="1709">
      <pivotArea dataOnly="0" grandRow="1" fieldPosition="0"/>
    </format>
    <format dxfId="1708">
      <pivotArea dataOnly="0" grandRow="1" fieldPosition="0"/>
    </format>
    <format dxfId="1707">
      <pivotArea dataOnly="0" labelOnly="1" grandCol="1" outline="0" fieldPosition="0"/>
    </format>
    <format dxfId="1706">
      <pivotArea outline="0" collapsedLevelsAreSubtotals="1" fieldPosition="0"/>
    </format>
    <format dxfId="1705">
      <pivotArea dataOnly="0" labelOnly="1" fieldPosition="0">
        <references count="1">
          <reference field="52" count="0"/>
        </references>
      </pivotArea>
    </format>
    <format dxfId="1704">
      <pivotArea dataOnly="0" labelOnly="1" grandRow="1" outline="0" fieldPosition="0"/>
    </format>
    <format dxfId="1703">
      <pivotArea dataOnly="0" labelOnly="1" grandCol="1" outline="0" fieldPosition="0"/>
    </format>
    <format dxfId="1702">
      <pivotArea dataOnly="0" labelOnly="1" grandCol="1" outline="0" fieldPosition="0"/>
    </format>
    <format dxfId="170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0.xml><?xml version="1.0" encoding="utf-8"?>
<pivotTableDefinition xmlns="http://schemas.openxmlformats.org/spreadsheetml/2006/main" name="Tabla dinámica30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J78:K82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6"/>
  </rowFields>
  <rowItems count="3">
    <i>
      <x v="1"/>
    </i>
    <i>
      <x v="2"/>
    </i>
    <i t="grand">
      <x/>
    </i>
  </rowItems>
  <colItems count="1">
    <i/>
  </colItems>
  <pageFields count="2">
    <pageField fld="52" hier="-1"/>
    <pageField fld="103" item="0" hier="-1"/>
  </pageFields>
  <dataFields count="1">
    <dataField name="Suma de ENGANCHE 4" fld="93" baseField="97" baseItem="1"/>
  </dataFields>
  <formats count="24">
    <format dxfId="1748">
      <pivotArea type="all" dataOnly="0" outline="0" fieldPosition="0"/>
    </format>
    <format dxfId="1747">
      <pivotArea type="all" dataOnly="0" outline="0" fieldPosition="0"/>
    </format>
    <format dxfId="1746">
      <pivotArea outline="0" collapsedLevelsAreSubtotals="1" fieldPosition="0"/>
    </format>
    <format dxfId="1745">
      <pivotArea dataOnly="0" labelOnly="1" grandRow="1" outline="0" fieldPosition="0"/>
    </format>
    <format dxfId="1744">
      <pivotArea grandRow="1" outline="0" collapsedLevelsAreSubtotals="1" fieldPosition="0"/>
    </format>
    <format dxfId="1743">
      <pivotArea dataOnly="0" labelOnly="1" grandRow="1" outline="0" fieldPosition="0"/>
    </format>
    <format dxfId="1742">
      <pivotArea grandRow="1" outline="0" collapsedLevelsAreSubtotals="1" fieldPosition="0"/>
    </format>
    <format dxfId="1741">
      <pivotArea dataOnly="0" labelOnly="1" grandRow="1" outline="0" fieldPosition="0"/>
    </format>
    <format dxfId="1740">
      <pivotArea field="12" type="button" dataOnly="0" labelOnly="1" outline="0"/>
    </format>
    <format dxfId="1739">
      <pivotArea dataOnly="0" labelOnly="1" grandCol="1" outline="0" fieldPosition="0"/>
    </format>
    <format dxfId="1738">
      <pivotArea dataOnly="0" labelOnly="1" grandCol="1" outline="0" fieldPosition="0"/>
    </format>
    <format dxfId="1737">
      <pivotArea dataOnly="0" labelOnly="1" grandCol="1" outline="0" fieldPosition="0"/>
    </format>
    <format dxfId="1736">
      <pivotArea dataOnly="0" labelOnly="1" grandCol="1" outline="0" fieldPosition="0"/>
    </format>
    <format dxfId="1735">
      <pivotArea grandRow="1" outline="0" collapsedLevelsAreSubtotals="1" fieldPosition="0"/>
    </format>
    <format dxfId="1734">
      <pivotArea grandRow="1" outline="0" collapsedLevelsAreSubtotals="1" fieldPosition="0"/>
    </format>
    <format dxfId="1733">
      <pivotArea dataOnly="0" grandRow="1" fieldPosition="0"/>
    </format>
    <format dxfId="1732">
      <pivotArea dataOnly="0" grandRow="1" fieldPosition="0"/>
    </format>
    <format dxfId="1731">
      <pivotArea dataOnly="0" labelOnly="1" grandCol="1" outline="0" fieldPosition="0"/>
    </format>
    <format dxfId="1730">
      <pivotArea outline="0" collapsedLevelsAreSubtotals="1" fieldPosition="0"/>
    </format>
    <format dxfId="1729">
      <pivotArea dataOnly="0" labelOnly="1" fieldPosition="0">
        <references count="1">
          <reference field="52" count="0"/>
        </references>
      </pivotArea>
    </format>
    <format dxfId="1728">
      <pivotArea dataOnly="0" labelOnly="1" grandRow="1" outline="0" fieldPosition="0"/>
    </format>
    <format dxfId="1727">
      <pivotArea dataOnly="0" labelOnly="1" grandCol="1" outline="0" fieldPosition="0"/>
    </format>
    <format dxfId="1726">
      <pivotArea dataOnly="0" labelOnly="1" grandCol="1" outline="0" fieldPosition="0"/>
    </format>
    <format dxfId="172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1.xml><?xml version="1.0" encoding="utf-8"?>
<pivotTableDefinition xmlns="http://schemas.openxmlformats.org/spreadsheetml/2006/main" name="Tabla dinámica47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D116:E118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h="1" x="1"/>
        <item h="1"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3"/>
  </rowFields>
  <rowItems count="1">
    <i t="grand">
      <x/>
    </i>
  </rowItems>
  <colItems count="1">
    <i/>
  </colItems>
  <pageFields count="2">
    <pageField fld="52" hier="-1"/>
    <pageField fld="100" hier="-1"/>
  </pageFields>
  <dataFields count="1">
    <dataField name="Cuenta de ENGANCHE 1" fld="90" subtotal="count" baseField="94" baseItem="0"/>
  </dataFields>
  <formats count="24">
    <format dxfId="1772">
      <pivotArea type="all" dataOnly="0" outline="0" fieldPosition="0"/>
    </format>
    <format dxfId="1771">
      <pivotArea type="all" dataOnly="0" outline="0" fieldPosition="0"/>
    </format>
    <format dxfId="1770">
      <pivotArea outline="0" collapsedLevelsAreSubtotals="1" fieldPosition="0"/>
    </format>
    <format dxfId="1769">
      <pivotArea dataOnly="0" labelOnly="1" grandRow="1" outline="0" fieldPosition="0"/>
    </format>
    <format dxfId="1768">
      <pivotArea grandRow="1" outline="0" collapsedLevelsAreSubtotals="1" fieldPosition="0"/>
    </format>
    <format dxfId="1767">
      <pivotArea dataOnly="0" labelOnly="1" grandRow="1" outline="0" fieldPosition="0"/>
    </format>
    <format dxfId="1766">
      <pivotArea grandRow="1" outline="0" collapsedLevelsAreSubtotals="1" fieldPosition="0"/>
    </format>
    <format dxfId="1765">
      <pivotArea dataOnly="0" labelOnly="1" grandRow="1" outline="0" fieldPosition="0"/>
    </format>
    <format dxfId="1764">
      <pivotArea field="12" type="button" dataOnly="0" labelOnly="1" outline="0"/>
    </format>
    <format dxfId="1763">
      <pivotArea dataOnly="0" labelOnly="1" grandCol="1" outline="0" fieldPosition="0"/>
    </format>
    <format dxfId="1762">
      <pivotArea dataOnly="0" labelOnly="1" grandCol="1" outline="0" fieldPosition="0"/>
    </format>
    <format dxfId="1761">
      <pivotArea dataOnly="0" labelOnly="1" grandCol="1" outline="0" fieldPosition="0"/>
    </format>
    <format dxfId="1760">
      <pivotArea dataOnly="0" labelOnly="1" grandCol="1" outline="0" fieldPosition="0"/>
    </format>
    <format dxfId="1759">
      <pivotArea grandRow="1" outline="0" collapsedLevelsAreSubtotals="1" fieldPosition="0"/>
    </format>
    <format dxfId="1758">
      <pivotArea grandRow="1" outline="0" collapsedLevelsAreSubtotals="1" fieldPosition="0"/>
    </format>
    <format dxfId="1757">
      <pivotArea dataOnly="0" grandRow="1" fieldPosition="0"/>
    </format>
    <format dxfId="1756">
      <pivotArea dataOnly="0" grandRow="1" fieldPosition="0"/>
    </format>
    <format dxfId="1755">
      <pivotArea dataOnly="0" labelOnly="1" grandCol="1" outline="0" fieldPosition="0"/>
    </format>
    <format dxfId="1754">
      <pivotArea outline="0" collapsedLevelsAreSubtotals="1" fieldPosition="0"/>
    </format>
    <format dxfId="1753">
      <pivotArea dataOnly="0" labelOnly="1" fieldPosition="0">
        <references count="1">
          <reference field="52" count="0"/>
        </references>
      </pivotArea>
    </format>
    <format dxfId="1752">
      <pivotArea dataOnly="0" labelOnly="1" grandRow="1" outline="0" fieldPosition="0"/>
    </format>
    <format dxfId="1751">
      <pivotArea dataOnly="0" labelOnly="1" grandCol="1" outline="0" fieldPosition="0"/>
    </format>
    <format dxfId="1750">
      <pivotArea dataOnly="0" labelOnly="1" grandCol="1" outline="0" fieldPosition="0"/>
    </format>
    <format dxfId="174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2.xml><?xml version="1.0" encoding="utf-8"?>
<pivotTableDefinition xmlns="http://schemas.openxmlformats.org/spreadsheetml/2006/main" name="Tabla dinámica53" cacheId="26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P116:Q119" firstHeaderRow="2" firstDataRow="2" firstDataCol="1" rowPageCount="2" colPageCount="1"/>
  <pivotFields count="154"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numFmtId="4" outline="0" showAll="0"/>
    <pivotField compact="0" outline="0" showAll="0" defaultSubtota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0">
        <item x="2"/>
        <item x="6"/>
        <item x="1"/>
        <item x="7"/>
        <item x="8"/>
        <item h="1" x="5"/>
        <item h="1" x="9"/>
        <item h="1" x="0"/>
        <item h="1" x="3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39"/>
  </rowFields>
  <rowItems count="2">
    <i>
      <x/>
    </i>
    <i t="grand">
      <x/>
    </i>
  </rowItems>
  <colItems count="1">
    <i/>
  </colItems>
  <pageFields count="2">
    <pageField fld="52" hier="-1"/>
    <pageField fld="106" hier="-1"/>
  </pageFields>
  <dataFields count="1">
    <dataField name="Cuenta de ENGANCHE 7" fld="96" subtotal="count" baseField="100" baseItem="0"/>
  </dataFields>
  <formats count="24">
    <format dxfId="1796">
      <pivotArea type="all" dataOnly="0" outline="0" fieldPosition="0"/>
    </format>
    <format dxfId="1795">
      <pivotArea type="all" dataOnly="0" outline="0" fieldPosition="0"/>
    </format>
    <format dxfId="1794">
      <pivotArea outline="0" collapsedLevelsAreSubtotals="1" fieldPosition="0"/>
    </format>
    <format dxfId="1793">
      <pivotArea dataOnly="0" labelOnly="1" grandRow="1" outline="0" fieldPosition="0"/>
    </format>
    <format dxfId="1792">
      <pivotArea grandRow="1" outline="0" collapsedLevelsAreSubtotals="1" fieldPosition="0"/>
    </format>
    <format dxfId="1791">
      <pivotArea dataOnly="0" labelOnly="1" grandRow="1" outline="0" fieldPosition="0"/>
    </format>
    <format dxfId="1790">
      <pivotArea grandRow="1" outline="0" collapsedLevelsAreSubtotals="1" fieldPosition="0"/>
    </format>
    <format dxfId="1789">
      <pivotArea dataOnly="0" labelOnly="1" grandRow="1" outline="0" fieldPosition="0"/>
    </format>
    <format dxfId="1788">
      <pivotArea field="12" type="button" dataOnly="0" labelOnly="1" outline="0"/>
    </format>
    <format dxfId="1787">
      <pivotArea dataOnly="0" labelOnly="1" grandCol="1" outline="0" fieldPosition="0"/>
    </format>
    <format dxfId="1786">
      <pivotArea dataOnly="0" labelOnly="1" grandCol="1" outline="0" fieldPosition="0"/>
    </format>
    <format dxfId="1785">
      <pivotArea dataOnly="0" labelOnly="1" grandCol="1" outline="0" fieldPosition="0"/>
    </format>
    <format dxfId="1784">
      <pivotArea dataOnly="0" labelOnly="1" grandCol="1" outline="0" fieldPosition="0"/>
    </format>
    <format dxfId="1783">
      <pivotArea grandRow="1" outline="0" collapsedLevelsAreSubtotals="1" fieldPosition="0"/>
    </format>
    <format dxfId="1782">
      <pivotArea grandRow="1" outline="0" collapsedLevelsAreSubtotals="1" fieldPosition="0"/>
    </format>
    <format dxfId="1781">
      <pivotArea dataOnly="0" grandRow="1" fieldPosition="0"/>
    </format>
    <format dxfId="1780">
      <pivotArea dataOnly="0" grandRow="1" fieldPosition="0"/>
    </format>
    <format dxfId="1779">
      <pivotArea dataOnly="0" labelOnly="1" grandCol="1" outline="0" fieldPosition="0"/>
    </format>
    <format dxfId="1778">
      <pivotArea outline="0" collapsedLevelsAreSubtotals="1" fieldPosition="0"/>
    </format>
    <format dxfId="1777">
      <pivotArea dataOnly="0" labelOnly="1" fieldPosition="0">
        <references count="1">
          <reference field="52" count="0"/>
        </references>
      </pivotArea>
    </format>
    <format dxfId="1776">
      <pivotArea dataOnly="0" labelOnly="1" grandRow="1" outline="0" fieldPosition="0"/>
    </format>
    <format dxfId="1775">
      <pivotArea dataOnly="0" labelOnly="1" grandCol="1" outline="0" fieldPosition="0"/>
    </format>
    <format dxfId="1774">
      <pivotArea dataOnly="0" labelOnly="1" grandCol="1" outline="0" fieldPosition="0"/>
    </format>
    <format dxfId="177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3.xml><?xml version="1.0" encoding="utf-8"?>
<pivotTableDefinition xmlns="http://schemas.openxmlformats.org/spreadsheetml/2006/main" name="Tabla dinámica4" cacheId="54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D45:P60" firstHeaderRow="1" firstDataRow="2" firstDataCol="1"/>
  <pivotFields count="120">
    <pivotField showAll="0"/>
    <pivotField showAll="0" defaultSubtotal="0"/>
    <pivotField dataField="1" showAll="0"/>
    <pivotField showAll="0"/>
    <pivotField showAll="0"/>
    <pivotField showAll="0"/>
    <pivotField showAll="0"/>
    <pivotField showAll="0" defaultSubtotal="0"/>
    <pivotField showAll="0" defaultSubtotal="0"/>
    <pivotField numFmtId="4" showAll="0"/>
    <pivotField showAll="0" defaultSubtotal="0"/>
    <pivotField showAll="0"/>
    <pivotField axis="axisRow" showAll="0">
      <items count="8">
        <item m="1" x="4"/>
        <item m="1" x="6"/>
        <item m="1" x="5"/>
        <item x="3"/>
        <item x="2"/>
        <item x="1"/>
        <item x="0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multipleItemSelectionAllowed="1"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10">
        <item x="2"/>
        <item x="6"/>
        <item x="1"/>
        <item x="7"/>
        <item x="8"/>
        <item x="5"/>
        <item h="1" x="9"/>
        <item h="1" x="0"/>
        <item h="1" x="3"/>
        <item h="1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m="1" x="1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12"/>
    <field x="52"/>
  </rowFields>
  <rowItems count="14"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 v="5"/>
    </i>
    <i>
      <x v="6"/>
    </i>
    <i r="1">
      <x/>
    </i>
    <i r="1">
      <x v="2"/>
    </i>
    <i r="1">
      <x v="5"/>
    </i>
    <i t="grand">
      <x/>
    </i>
  </rowItems>
  <colFields count="1">
    <field x="88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uenta de ID" fld="2" subtotal="count" baseField="0" baseItem="0"/>
  </dataFields>
  <formats count="37">
    <format dxfId="278">
      <pivotArea type="all" dataOnly="0" outline="0" fieldPosition="0"/>
    </format>
    <format dxfId="277">
      <pivotArea type="all" dataOnly="0" outline="0" fieldPosition="0"/>
    </format>
    <format dxfId="276">
      <pivotArea outline="0" collapsedLevelsAreSubtotals="1" fieldPosition="0"/>
    </format>
    <format dxfId="275">
      <pivotArea dataOnly="0" labelOnly="1" grandRow="1" outline="0" fieldPosition="0"/>
    </format>
    <format dxfId="274">
      <pivotArea grandRow="1" outline="0" collapsedLevelsAreSubtotals="1" fieldPosition="0"/>
    </format>
    <format dxfId="273">
      <pivotArea dataOnly="0" labelOnly="1" grandRow="1" outline="0" fieldPosition="0"/>
    </format>
    <format dxfId="272">
      <pivotArea grandRow="1" outline="0" collapsedLevelsAreSubtotals="1" fieldPosition="0"/>
    </format>
    <format dxfId="271">
      <pivotArea dataOnly="0" labelOnly="1" grandRow="1" outline="0" fieldPosition="0"/>
    </format>
    <format dxfId="270">
      <pivotArea field="12" type="button" dataOnly="0" labelOnly="1" outline="0" axis="axisRow" fieldPosition="0"/>
    </format>
    <format dxfId="269">
      <pivotArea dataOnly="0" labelOnly="1" grandCol="1" outline="0" fieldPosition="0"/>
    </format>
    <format dxfId="268">
      <pivotArea dataOnly="0" labelOnly="1" grandCol="1" outline="0" fieldPosition="0"/>
    </format>
    <format dxfId="267">
      <pivotArea dataOnly="0" labelOnly="1" grandCol="1" outline="0" fieldPosition="0"/>
    </format>
    <format dxfId="266">
      <pivotArea dataOnly="0" labelOnly="1" grandCol="1" outline="0" fieldPosition="0"/>
    </format>
    <format dxfId="265">
      <pivotArea grandRow="1" outline="0" collapsedLevelsAreSubtotals="1" fieldPosition="0"/>
    </format>
    <format dxfId="264">
      <pivotArea grandRow="1" outline="0" collapsedLevelsAreSubtotals="1" fieldPosition="0"/>
    </format>
    <format dxfId="263">
      <pivotArea dataOnly="0" grandRow="1" fieldPosition="0"/>
    </format>
    <format dxfId="262">
      <pivotArea dataOnly="0" grandRow="1" fieldPosition="0"/>
    </format>
    <format dxfId="261">
      <pivotArea dataOnly="0" labelOnly="1" grandCol="1" outline="0" fieldPosition="0"/>
    </format>
    <format dxfId="260">
      <pivotArea outline="0" collapsedLevelsAreSubtotals="1" fieldPosition="0"/>
    </format>
    <format dxfId="259">
      <pivotArea dataOnly="0" labelOnly="1" fieldPosition="0">
        <references count="1">
          <reference field="52" count="0"/>
        </references>
      </pivotArea>
    </format>
    <format dxfId="258">
      <pivotArea dataOnly="0" labelOnly="1" grandRow="1" outline="0" fieldPosition="0"/>
    </format>
    <format dxfId="257">
      <pivotArea dataOnly="0" labelOnly="1" grandCol="1" outline="0" fieldPosition="0"/>
    </format>
    <format dxfId="256">
      <pivotArea dataOnly="0" labelOnly="1" grandCol="1" outline="0" fieldPosition="0"/>
    </format>
    <format dxfId="255">
      <pivotArea dataOnly="0" labelOnly="1" grandCol="1" outline="0" fieldPosition="0"/>
    </format>
    <format dxfId="254">
      <pivotArea dataOnly="0" labelOnly="1" grandCol="1" outline="0" fieldPosition="0"/>
    </format>
    <format dxfId="253">
      <pivotArea type="origin" dataOnly="0" labelOnly="1" outline="0" fieldPosition="0"/>
    </format>
    <format dxfId="252">
      <pivotArea field="52" type="button" dataOnly="0" labelOnly="1" outline="0" axis="axisRow" fieldPosition="1"/>
    </format>
    <format dxfId="251">
      <pivotArea dataOnly="0" labelOnly="1" grandCol="1" outline="0" fieldPosition="0"/>
    </format>
    <format dxfId="250">
      <pivotArea dataOnly="0" labelOnly="1" grandCol="1" outline="0" fieldPosition="0"/>
    </format>
    <format dxfId="249">
      <pivotArea dataOnly="0" fieldPosition="0">
        <references count="1">
          <reference field="12" count="3">
            <x v="4"/>
            <x v="5"/>
            <x v="6"/>
          </reference>
        </references>
      </pivotArea>
    </format>
    <format dxfId="248">
      <pivotArea dataOnly="0" fieldPosition="0">
        <references count="1">
          <reference field="12" count="3">
            <x v="4"/>
            <x v="5"/>
            <x v="6"/>
          </reference>
        </references>
      </pivotArea>
    </format>
    <format dxfId="247">
      <pivotArea dataOnly="0" labelOnly="1" fieldPosition="0">
        <references count="1">
          <reference field="88" count="0"/>
        </references>
      </pivotArea>
    </format>
    <format dxfId="246">
      <pivotArea dataOnly="0" labelOnly="1" grandCol="1" outline="0" fieldPosition="0"/>
    </format>
    <format dxfId="245">
      <pivotArea dataOnly="0" labelOnly="1" fieldPosition="0">
        <references count="1">
          <reference field="88" count="0"/>
        </references>
      </pivotArea>
    </format>
    <format dxfId="244">
      <pivotArea dataOnly="0" labelOnly="1" grandCol="1" outline="0" fieldPosition="0"/>
    </format>
    <format dxfId="243">
      <pivotArea dataOnly="0" outline="0" fieldPosition="0">
        <references count="1">
          <reference field="88" count="1">
            <x v="6"/>
          </reference>
        </references>
      </pivotArea>
    </format>
    <format dxfId="242">
      <pivotArea field="88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4.xml><?xml version="1.0" encoding="utf-8"?>
<pivotTableDefinition xmlns="http://schemas.openxmlformats.org/spreadsheetml/2006/main" name="Tabla dinámica3" cacheId="54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D26:P41" firstHeaderRow="1" firstDataRow="2" firstDataCol="1"/>
  <pivotFields count="120">
    <pivotField showAll="0"/>
    <pivotField showAll="0" defaultSubtotal="0"/>
    <pivotField dataField="1" showAll="0"/>
    <pivotField showAll="0"/>
    <pivotField showAll="0"/>
    <pivotField showAll="0"/>
    <pivotField showAll="0"/>
    <pivotField showAll="0" defaultSubtotal="0"/>
    <pivotField showAll="0" defaultSubtotal="0"/>
    <pivotField numFmtId="4" showAll="0"/>
    <pivotField showAll="0" defaultSubtotal="0"/>
    <pivotField showAll="0"/>
    <pivotField axis="axisRow" showAll="0">
      <items count="8">
        <item m="1" x="4"/>
        <item m="1" x="6"/>
        <item m="1" x="5"/>
        <item x="3"/>
        <item x="2"/>
        <item x="1"/>
        <item x="0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multipleItemSelectionAllowed="1"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10">
        <item x="2"/>
        <item x="6"/>
        <item x="1"/>
        <item x="7"/>
        <item x="8"/>
        <item x="5"/>
        <item h="1" x="9"/>
        <item h="1" x="0"/>
        <item h="1" x="3"/>
        <item h="1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m="1" x="1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12"/>
    <field x="52"/>
  </rowFields>
  <rowItems count="14"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 v="5"/>
    </i>
    <i>
      <x v="6"/>
    </i>
    <i r="1">
      <x/>
    </i>
    <i r="1">
      <x v="2"/>
    </i>
    <i r="1">
      <x v="5"/>
    </i>
    <i t="grand">
      <x/>
    </i>
  </rowItems>
  <colFields count="1">
    <field x="87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uenta de ID" fld="2" subtotal="count" baseField="0" baseItem="0"/>
  </dataFields>
  <formats count="38">
    <format dxfId="316">
      <pivotArea type="all" dataOnly="0" outline="0" fieldPosition="0"/>
    </format>
    <format dxfId="315">
      <pivotArea type="all" dataOnly="0" outline="0" fieldPosition="0"/>
    </format>
    <format dxfId="314">
      <pivotArea outline="0" collapsedLevelsAreSubtotals="1" fieldPosition="0"/>
    </format>
    <format dxfId="313">
      <pivotArea dataOnly="0" labelOnly="1" grandRow="1" outline="0" fieldPosition="0"/>
    </format>
    <format dxfId="312">
      <pivotArea grandRow="1" outline="0" collapsedLevelsAreSubtotals="1" fieldPosition="0"/>
    </format>
    <format dxfId="311">
      <pivotArea dataOnly="0" labelOnly="1" grandRow="1" outline="0" fieldPosition="0"/>
    </format>
    <format dxfId="310">
      <pivotArea grandRow="1" outline="0" collapsedLevelsAreSubtotals="1" fieldPosition="0"/>
    </format>
    <format dxfId="309">
      <pivotArea dataOnly="0" labelOnly="1" grandRow="1" outline="0" fieldPosition="0"/>
    </format>
    <format dxfId="308">
      <pivotArea field="12" type="button" dataOnly="0" labelOnly="1" outline="0" axis="axisRow" fieldPosition="0"/>
    </format>
    <format dxfId="307">
      <pivotArea dataOnly="0" labelOnly="1" grandCol="1" outline="0" fieldPosition="0"/>
    </format>
    <format dxfId="306">
      <pivotArea dataOnly="0" labelOnly="1" grandCol="1" outline="0" fieldPosition="0"/>
    </format>
    <format dxfId="305">
      <pivotArea dataOnly="0" labelOnly="1" grandCol="1" outline="0" fieldPosition="0"/>
    </format>
    <format dxfId="304">
      <pivotArea dataOnly="0" labelOnly="1" grandCol="1" outline="0" fieldPosition="0"/>
    </format>
    <format dxfId="303">
      <pivotArea grandRow="1" outline="0" collapsedLevelsAreSubtotals="1" fieldPosition="0"/>
    </format>
    <format dxfId="302">
      <pivotArea grandRow="1" outline="0" collapsedLevelsAreSubtotals="1" fieldPosition="0"/>
    </format>
    <format dxfId="301">
      <pivotArea dataOnly="0" grandRow="1" fieldPosition="0"/>
    </format>
    <format dxfId="300">
      <pivotArea dataOnly="0" grandRow="1" fieldPosition="0"/>
    </format>
    <format dxfId="299">
      <pivotArea dataOnly="0" labelOnly="1" grandCol="1" outline="0" fieldPosition="0"/>
    </format>
    <format dxfId="298">
      <pivotArea outline="0" collapsedLevelsAreSubtotals="1" fieldPosition="0"/>
    </format>
    <format dxfId="297">
      <pivotArea dataOnly="0" labelOnly="1" fieldPosition="0">
        <references count="1">
          <reference field="52" count="0"/>
        </references>
      </pivotArea>
    </format>
    <format dxfId="296">
      <pivotArea dataOnly="0" labelOnly="1" grandRow="1" outline="0" fieldPosition="0"/>
    </format>
    <format dxfId="295">
      <pivotArea dataOnly="0" labelOnly="1" grandCol="1" outline="0" fieldPosition="0"/>
    </format>
    <format dxfId="294">
      <pivotArea dataOnly="0" labelOnly="1" grandCol="1" outline="0" fieldPosition="0"/>
    </format>
    <format dxfId="293">
      <pivotArea dataOnly="0" labelOnly="1" grandCol="1" outline="0" fieldPosition="0"/>
    </format>
    <format dxfId="292">
      <pivotArea dataOnly="0" labelOnly="1" grandCol="1" outline="0" fieldPosition="0"/>
    </format>
    <format dxfId="291">
      <pivotArea type="origin" dataOnly="0" labelOnly="1" outline="0" fieldPosition="0"/>
    </format>
    <format dxfId="290">
      <pivotArea field="52" type="button" dataOnly="0" labelOnly="1" outline="0" axis="axisRow" fieldPosition="1"/>
    </format>
    <format dxfId="289">
      <pivotArea dataOnly="0" labelOnly="1" grandCol="1" outline="0" fieldPosition="0"/>
    </format>
    <format dxfId="288">
      <pivotArea dataOnly="0" labelOnly="1" grandCol="1" outline="0" fieldPosition="0"/>
    </format>
    <format dxfId="287">
      <pivotArea dataOnly="0" fieldPosition="0">
        <references count="1">
          <reference field="12" count="3">
            <x v="4"/>
            <x v="5"/>
            <x v="6"/>
          </reference>
        </references>
      </pivotArea>
    </format>
    <format dxfId="286">
      <pivotArea dataOnly="0" fieldPosition="0">
        <references count="1">
          <reference field="12" count="3">
            <x v="4"/>
            <x v="5"/>
            <x v="6"/>
          </reference>
        </references>
      </pivotArea>
    </format>
    <format dxfId="285">
      <pivotArea dataOnly="0" labelOnly="1" fieldPosition="0">
        <references count="1">
          <reference field="87" count="0"/>
        </references>
      </pivotArea>
    </format>
    <format dxfId="284">
      <pivotArea dataOnly="0" labelOnly="1" grandCol="1" outline="0" fieldPosition="0"/>
    </format>
    <format dxfId="283">
      <pivotArea dataOnly="0" labelOnly="1" fieldPosition="0">
        <references count="1">
          <reference field="87" count="0"/>
        </references>
      </pivotArea>
    </format>
    <format dxfId="282">
      <pivotArea dataOnly="0" labelOnly="1" grandCol="1" outline="0" fieldPosition="0"/>
    </format>
    <format dxfId="281">
      <pivotArea outline="0" collapsedLevelsAreSubtotals="1" fieldPosition="0">
        <references count="1">
          <reference field="87" count="1" selected="0">
            <x v="6"/>
          </reference>
        </references>
      </pivotArea>
    </format>
    <format dxfId="280">
      <pivotArea dataOnly="0" labelOnly="1" fieldPosition="0">
        <references count="1">
          <reference field="87" count="1">
            <x v="6"/>
          </reference>
        </references>
      </pivotArea>
    </format>
    <format dxfId="279">
      <pivotArea field="87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5.xml><?xml version="1.0" encoding="utf-8"?>
<pivotTableDefinition xmlns="http://schemas.openxmlformats.org/spreadsheetml/2006/main" name="Tabla dinámica2" cacheId="54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D7:P22" firstHeaderRow="1" firstDataRow="2" firstDataCol="1"/>
  <pivotFields count="120">
    <pivotField showAll="0"/>
    <pivotField showAll="0" defaultSubtotal="0"/>
    <pivotField dataField="1" showAll="0"/>
    <pivotField showAll="0"/>
    <pivotField showAll="0"/>
    <pivotField showAll="0"/>
    <pivotField showAll="0"/>
    <pivotField showAll="0" defaultSubtotal="0"/>
    <pivotField showAll="0" defaultSubtotal="0"/>
    <pivotField numFmtId="4" showAll="0"/>
    <pivotField showAll="0" defaultSubtotal="0"/>
    <pivotField showAll="0"/>
    <pivotField axis="axisRow" showAll="0">
      <items count="8">
        <item m="1" x="4"/>
        <item m="1" x="6"/>
        <item m="1" x="5"/>
        <item x="3"/>
        <item x="2"/>
        <item x="1"/>
        <item x="0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multipleItemSelectionAllowed="1"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10">
        <item x="2"/>
        <item x="6"/>
        <item x="1"/>
        <item x="7"/>
        <item x="8"/>
        <item x="5"/>
        <item h="1" x="9"/>
        <item h="1" x="0"/>
        <item h="1" x="3"/>
        <item h="1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m="1" x="1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12"/>
    <field x="52"/>
  </rowFields>
  <rowItems count="14"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 v="5"/>
    </i>
    <i>
      <x v="6"/>
    </i>
    <i r="1">
      <x/>
    </i>
    <i r="1">
      <x v="2"/>
    </i>
    <i r="1">
      <x v="5"/>
    </i>
    <i t="grand">
      <x/>
    </i>
  </rowItems>
  <colFields count="1">
    <field x="86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uenta de ID" fld="2" subtotal="count" baseField="0" baseItem="0"/>
  </dataFields>
  <formats count="40">
    <format dxfId="356">
      <pivotArea type="all" dataOnly="0" outline="0" fieldPosition="0"/>
    </format>
    <format dxfId="355">
      <pivotArea type="all" dataOnly="0" outline="0" fieldPosition="0"/>
    </format>
    <format dxfId="354">
      <pivotArea outline="0" collapsedLevelsAreSubtotals="1" fieldPosition="0"/>
    </format>
    <format dxfId="353">
      <pivotArea dataOnly="0" labelOnly="1" grandRow="1" outline="0" fieldPosition="0"/>
    </format>
    <format dxfId="352">
      <pivotArea grandRow="1" outline="0" collapsedLevelsAreSubtotals="1" fieldPosition="0"/>
    </format>
    <format dxfId="351">
      <pivotArea dataOnly="0" labelOnly="1" grandRow="1" outline="0" fieldPosition="0"/>
    </format>
    <format dxfId="350">
      <pivotArea grandRow="1" outline="0" collapsedLevelsAreSubtotals="1" fieldPosition="0"/>
    </format>
    <format dxfId="349">
      <pivotArea dataOnly="0" labelOnly="1" grandRow="1" outline="0" fieldPosition="0"/>
    </format>
    <format dxfId="348">
      <pivotArea field="12" type="button" dataOnly="0" labelOnly="1" outline="0" axis="axisRow" fieldPosition="0"/>
    </format>
    <format dxfId="347">
      <pivotArea dataOnly="0" labelOnly="1" grandCol="1" outline="0" fieldPosition="0"/>
    </format>
    <format dxfId="346">
      <pivotArea dataOnly="0" labelOnly="1" grandCol="1" outline="0" fieldPosition="0"/>
    </format>
    <format dxfId="345">
      <pivotArea dataOnly="0" labelOnly="1" grandCol="1" outline="0" fieldPosition="0"/>
    </format>
    <format dxfId="344">
      <pivotArea dataOnly="0" labelOnly="1" grandCol="1" outline="0" fieldPosition="0"/>
    </format>
    <format dxfId="343">
      <pivotArea grandRow="1" outline="0" collapsedLevelsAreSubtotals="1" fieldPosition="0"/>
    </format>
    <format dxfId="342">
      <pivotArea grandRow="1" outline="0" collapsedLevelsAreSubtotals="1" fieldPosition="0"/>
    </format>
    <format dxfId="341">
      <pivotArea dataOnly="0" grandRow="1" fieldPosition="0"/>
    </format>
    <format dxfId="340">
      <pivotArea dataOnly="0" grandRow="1" fieldPosition="0"/>
    </format>
    <format dxfId="339">
      <pivotArea dataOnly="0" labelOnly="1" grandCol="1" outline="0" fieldPosition="0"/>
    </format>
    <format dxfId="338">
      <pivotArea outline="0" collapsedLevelsAreSubtotals="1" fieldPosition="0"/>
    </format>
    <format dxfId="337">
      <pivotArea dataOnly="0" labelOnly="1" fieldPosition="0">
        <references count="1">
          <reference field="52" count="0"/>
        </references>
      </pivotArea>
    </format>
    <format dxfId="336">
      <pivotArea dataOnly="0" labelOnly="1" grandRow="1" outline="0" fieldPosition="0"/>
    </format>
    <format dxfId="335">
      <pivotArea dataOnly="0" labelOnly="1" grandCol="1" outline="0" fieldPosition="0"/>
    </format>
    <format dxfId="334">
      <pivotArea dataOnly="0" labelOnly="1" grandCol="1" outline="0" fieldPosition="0"/>
    </format>
    <format dxfId="333">
      <pivotArea dataOnly="0" labelOnly="1" grandCol="1" outline="0" fieldPosition="0"/>
    </format>
    <format dxfId="332">
      <pivotArea dataOnly="0" labelOnly="1" grandCol="1" outline="0" fieldPosition="0"/>
    </format>
    <format dxfId="331">
      <pivotArea type="origin" dataOnly="0" labelOnly="1" outline="0" fieldPosition="0"/>
    </format>
    <format dxfId="330">
      <pivotArea field="52" type="button" dataOnly="0" labelOnly="1" outline="0" axis="axisRow" fieldPosition="1"/>
    </format>
    <format dxfId="329">
      <pivotArea dataOnly="0" labelOnly="1" fieldPosition="0">
        <references count="1">
          <reference field="86" count="0"/>
        </references>
      </pivotArea>
    </format>
    <format dxfId="328">
      <pivotArea dataOnly="0" labelOnly="1" grandCol="1" outline="0" fieldPosition="0"/>
    </format>
    <format dxfId="327">
      <pivotArea dataOnly="0" labelOnly="1" fieldPosition="0">
        <references count="1">
          <reference field="86" count="0"/>
        </references>
      </pivotArea>
    </format>
    <format dxfId="326">
      <pivotArea dataOnly="0" labelOnly="1" grandCol="1" outline="0" fieldPosition="0"/>
    </format>
    <format dxfId="325">
      <pivotArea dataOnly="0" labelOnly="1" fieldPosition="0">
        <references count="1">
          <reference field="86" count="0"/>
        </references>
      </pivotArea>
    </format>
    <format dxfId="324">
      <pivotArea dataOnly="0" labelOnly="1" grandCol="1" outline="0" fieldPosition="0"/>
    </format>
    <format dxfId="323">
      <pivotArea dataOnly="0" labelOnly="1" fieldPosition="0">
        <references count="1">
          <reference field="86" count="0"/>
        </references>
      </pivotArea>
    </format>
    <format dxfId="322">
      <pivotArea dataOnly="0" labelOnly="1" grandCol="1" outline="0" fieldPosition="0"/>
    </format>
    <format dxfId="321">
      <pivotArea dataOnly="0" fieldPosition="0">
        <references count="1">
          <reference field="12" count="3">
            <x v="4"/>
            <x v="5"/>
            <x v="6"/>
          </reference>
        </references>
      </pivotArea>
    </format>
    <format dxfId="320">
      <pivotArea dataOnly="0" fieldPosition="0">
        <references count="1">
          <reference field="12" count="3">
            <x v="4"/>
            <x v="5"/>
            <x v="6"/>
          </reference>
        </references>
      </pivotArea>
    </format>
    <format dxfId="319">
      <pivotArea outline="0" collapsedLevelsAreSubtotals="1" fieldPosition="0">
        <references count="1">
          <reference field="86" count="1" selected="0">
            <x v="6"/>
          </reference>
        </references>
      </pivotArea>
    </format>
    <format dxfId="318">
      <pivotArea dataOnly="0" labelOnly="1" fieldPosition="0">
        <references count="1">
          <reference field="86" count="1">
            <x v="6"/>
          </reference>
        </references>
      </pivotArea>
    </format>
    <format dxfId="317">
      <pivotArea field="86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6.xml><?xml version="1.0" encoding="utf-8"?>
<pivotTableDefinition xmlns="http://schemas.openxmlformats.org/spreadsheetml/2006/main" name="Tabla dinámica3" cacheId="54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B30:D36" firstHeaderRow="0" firstDataRow="1" firstDataCol="1" rowPageCount="1" colPageCount="1"/>
  <pivotFields count="120"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numFmtId="4" showAll="0"/>
    <pivotField showAll="0" defaultSubtotal="0"/>
    <pivotField showAll="0"/>
    <pivotField showAll="0">
      <items count="8">
        <item m="1" x="4"/>
        <item m="1" x="6"/>
        <item m="1" x="5"/>
        <item x="3"/>
        <item x="2"/>
        <item x="1"/>
        <item x="0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multipleItemSelectionAllowed="1" showAll="0" defaultSubtotal="0"/>
    <pivotField showAll="0" defaultSubtotal="0"/>
    <pivotField showAll="0" defaultSubtotal="0"/>
    <pivotField axis="axisRow" showAll="0" defaultSubtotal="0">
      <items count="6">
        <item x="0"/>
        <item x="5"/>
        <item x="1"/>
        <item x="2"/>
        <item x="3"/>
        <item x="4"/>
      </items>
    </pivotField>
    <pivotField showAll="0" defaultSubtotal="0"/>
    <pivotField showAll="0" defaultSubtotal="0">
      <items count="10">
        <item x="2"/>
        <item x="6"/>
        <item x="1"/>
        <item x="7"/>
        <item x="8"/>
        <item x="5"/>
        <item h="1" x="9"/>
        <item h="1" x="0"/>
        <item h="1" x="3"/>
        <item h="1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showAll="0" defaultSubtotal="0">
      <items count="3">
        <item x="1"/>
        <item x="0"/>
        <item x="2"/>
      </items>
    </pivotField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>
      <items count="8">
        <item x="6"/>
        <item x="2"/>
        <item x="3"/>
        <item x="4"/>
        <item x="1"/>
        <item x="0"/>
        <item h="1" x="5"/>
        <item h="1" x="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m="1" x="1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5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64" item="1" hier="-1"/>
  </pageFields>
  <dataFields count="2">
    <dataField name="COMISION 3" fld="68" subtotal="count" baseField="0" baseItem="0"/>
    <dataField name="COMISION 3 $" fld="68" baseField="50" baseItem="0"/>
  </dataFields>
  <formats count="40">
    <format dxfId="39">
      <pivotArea type="all" dataOnly="0" outline="0" fieldPosition="0"/>
    </format>
    <format dxfId="38">
      <pivotArea type="all" dataOnly="0" outline="0" fieldPosition="0"/>
    </format>
    <format dxfId="37">
      <pivotArea outline="0" collapsedLevelsAreSubtotals="1" fieldPosition="0"/>
    </format>
    <format dxfId="36">
      <pivotArea dataOnly="0" labelOnly="1" grandRow="1" outline="0" fieldPosition="0"/>
    </format>
    <format dxfId="35">
      <pivotArea grandRow="1" outline="0" collapsedLevelsAreSubtotals="1" fieldPosition="0"/>
    </format>
    <format dxfId="34">
      <pivotArea dataOnly="0" labelOnly="1" grandRow="1" outline="0" fieldPosition="0"/>
    </format>
    <format dxfId="33">
      <pivotArea grandRow="1" outline="0" collapsedLevelsAreSubtotals="1" fieldPosition="0"/>
    </format>
    <format dxfId="32">
      <pivotArea dataOnly="0" labelOnly="1" grandRow="1" outline="0" fieldPosition="0"/>
    </format>
    <format dxfId="31">
      <pivotArea field="12" type="button" dataOnly="0" labelOnly="1" outline="0"/>
    </format>
    <format dxfId="30">
      <pivotArea dataOnly="0" labelOnly="1" grandCol="1" outline="0" fieldPosition="0"/>
    </format>
    <format dxfId="29">
      <pivotArea dataOnly="0" labelOnly="1" grandCol="1" outline="0" fieldPosition="0"/>
    </format>
    <format dxfId="28">
      <pivotArea dataOnly="0" labelOnly="1" grandCol="1" outline="0" fieldPosition="0"/>
    </format>
    <format dxfId="27">
      <pivotArea dataOnly="0" labelOnly="1" grandCol="1" outline="0" fieldPosition="0"/>
    </format>
    <format dxfId="26">
      <pivotArea grandRow="1" outline="0" collapsedLevelsAreSubtotals="1" fieldPosition="0"/>
    </format>
    <format dxfId="25">
      <pivotArea grandRow="1" outline="0" collapsedLevelsAreSubtotals="1" fieldPosition="0"/>
    </format>
    <format dxfId="24">
      <pivotArea dataOnly="0" grandRow="1" fieldPosition="0"/>
    </format>
    <format dxfId="23">
      <pivotArea dataOnly="0" grandRow="1" fieldPosition="0"/>
    </format>
    <format dxfId="22">
      <pivotArea dataOnly="0" labelOnly="1" grandCol="1" outline="0" fieldPosition="0"/>
    </format>
    <format dxfId="21">
      <pivotArea outline="0" collapsedLevelsAreSubtotals="1" fieldPosition="0"/>
    </format>
    <format dxfId="20">
      <pivotArea dataOnly="0" labelOnly="1" grandRow="1" outline="0" fieldPosition="0"/>
    </format>
    <format dxfId="19">
      <pivotArea dataOnly="0" labelOnly="1" grandCol="1" outline="0" fieldPosition="0"/>
    </format>
    <format dxfId="18">
      <pivotArea dataOnly="0" labelOnly="1" grandCol="1" outline="0" fieldPosition="0"/>
    </format>
    <format dxfId="17">
      <pivotArea dataOnly="0" labelOnly="1" grandCol="1" outline="0" fieldPosition="0"/>
    </format>
    <format dxfId="16">
      <pivotArea dataOnly="0" labelOnly="1" grandCol="1" outline="0" fieldPosition="0"/>
    </format>
    <format dxfId="15">
      <pivotArea type="origin" dataOnly="0" labelOnly="1" outline="0" fieldPosition="0"/>
    </format>
    <format dxfId="14">
      <pivotArea field="52" type="button" dataOnly="0" labelOnly="1" outline="0"/>
    </format>
    <format dxfId="13">
      <pivotArea dataOnly="0" labelOnly="1" grandCol="1" outline="0" fieldPosition="0"/>
    </format>
    <format dxfId="12">
      <pivotArea dataOnly="0" labelOnly="1" grandCol="1" outline="0" fieldPosition="0"/>
    </format>
    <format dxfId="11">
      <pivotArea dataOnly="0" labelOnly="1" grandCol="1" outline="0" fieldPosition="0"/>
    </format>
    <format dxfId="10">
      <pivotArea dataOnly="0" labelOnly="1" grandCol="1" outline="0" fieldPosition="0"/>
    </format>
    <format dxfId="9">
      <pivotArea field="86" type="button" dataOnly="0" labelOnly="1" outline="0"/>
    </format>
    <format dxfId="8">
      <pivotArea outline="0" collapsedLevelsAreSubtotals="1" fieldPosition="0"/>
    </format>
    <format dxfId="7">
      <pivotArea type="all" dataOnly="0" outline="0" fieldPosition="0"/>
    </format>
    <format dxfId="6">
      <pivotArea dataOnly="0" labelOnly="1" grandCol="1" outline="0" fieldPosition="0"/>
    </format>
    <format dxfId="5">
      <pivotArea dataOnly="0" labelOnly="1" grandCol="1" outline="0" fieldPosition="0"/>
    </format>
    <format dxfId="4">
      <pivotArea field="50" type="button" dataOnly="0" labelOnly="1" outline="0" axis="axisRow" fieldPosition="0"/>
    </format>
    <format dxfId="3">
      <pivotArea field="73" type="button" dataOnly="0" labelOnly="1" outline="0"/>
    </format>
    <format dxfId="2">
      <pivotArea dataOnly="0" labelOnly="1" fieldPosition="0">
        <references count="1">
          <reference field="50" count="5">
            <x v="0"/>
            <x v="1"/>
            <x v="2"/>
            <x v="3"/>
            <x v="4"/>
          </reference>
        </references>
      </pivotArea>
    </format>
    <format dxfId="1">
      <pivotArea dataOnly="0" fieldPosition="0">
        <references count="1">
          <reference field="50" count="5">
            <x v="0"/>
            <x v="1"/>
            <x v="2"/>
            <x v="3"/>
            <x v="4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7.xml><?xml version="1.0" encoding="utf-8"?>
<pivotTableDefinition xmlns="http://schemas.openxmlformats.org/spreadsheetml/2006/main" name="Tabla dinámica2" cacheId="54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B17:D23" firstHeaderRow="0" firstDataRow="1" firstDataCol="1" rowPageCount="1" colPageCount="1"/>
  <pivotFields count="120"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numFmtId="4" showAll="0"/>
    <pivotField showAll="0" defaultSubtotal="0"/>
    <pivotField showAll="0"/>
    <pivotField showAll="0">
      <items count="8">
        <item m="1" x="4"/>
        <item m="1" x="6"/>
        <item m="1" x="5"/>
        <item x="3"/>
        <item x="2"/>
        <item x="1"/>
        <item x="0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multipleItemSelectionAllowed="1" showAll="0" defaultSubtotal="0"/>
    <pivotField showAll="0" defaultSubtotal="0"/>
    <pivotField showAll="0" defaultSubtotal="0"/>
    <pivotField axis="axisRow" showAll="0" defaultSubtotal="0">
      <items count="6">
        <item x="0"/>
        <item x="5"/>
        <item x="1"/>
        <item x="2"/>
        <item x="3"/>
        <item x="4"/>
      </items>
    </pivotField>
    <pivotField showAll="0" defaultSubtotal="0"/>
    <pivotField showAll="0" defaultSubtotal="0">
      <items count="10">
        <item x="2"/>
        <item x="6"/>
        <item x="1"/>
        <item x="7"/>
        <item x="8"/>
        <item x="5"/>
        <item h="1" x="9"/>
        <item h="1" x="0"/>
        <item h="1" x="3"/>
        <item h="1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showAll="0" defaultSubtotal="0">
      <items count="3">
        <item x="1"/>
        <item x="0"/>
        <item x="2"/>
      </items>
    </pivotField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>
      <items count="8">
        <item x="6"/>
        <item x="2"/>
        <item x="3"/>
        <item x="4"/>
        <item x="1"/>
        <item x="0"/>
        <item h="1" x="5"/>
        <item h="1" x="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m="1" x="1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5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63" item="1" hier="-1"/>
  </pageFields>
  <dataFields count="2">
    <dataField name="COMISION 2" fld="67" subtotal="count" baseField="0" baseItem="0"/>
    <dataField name="COMISION 2 $" fld="67" baseField="50" baseItem="0"/>
  </dataFields>
  <formats count="40">
    <format dxfId="79">
      <pivotArea type="all" dataOnly="0" outline="0" fieldPosition="0"/>
    </format>
    <format dxfId="78">
      <pivotArea type="all" dataOnly="0" outline="0" fieldPosition="0"/>
    </format>
    <format dxfId="77">
      <pivotArea outline="0" collapsedLevelsAreSubtotals="1" fieldPosition="0"/>
    </format>
    <format dxfId="76">
      <pivotArea dataOnly="0" labelOnly="1" grandRow="1" outline="0" fieldPosition="0"/>
    </format>
    <format dxfId="75">
      <pivotArea grandRow="1" outline="0" collapsedLevelsAreSubtotals="1" fieldPosition="0"/>
    </format>
    <format dxfId="74">
      <pivotArea dataOnly="0" labelOnly="1" grandRow="1" outline="0" fieldPosition="0"/>
    </format>
    <format dxfId="73">
      <pivotArea grandRow="1" outline="0" collapsedLevelsAreSubtotals="1" fieldPosition="0"/>
    </format>
    <format dxfId="72">
      <pivotArea dataOnly="0" labelOnly="1" grandRow="1" outline="0" fieldPosition="0"/>
    </format>
    <format dxfId="71">
      <pivotArea field="12" type="button" dataOnly="0" labelOnly="1" outline="0"/>
    </format>
    <format dxfId="70">
      <pivotArea dataOnly="0" labelOnly="1" grandCol="1" outline="0" fieldPosition="0"/>
    </format>
    <format dxfId="69">
      <pivotArea dataOnly="0" labelOnly="1" grandCol="1" outline="0" fieldPosition="0"/>
    </format>
    <format dxfId="68">
      <pivotArea dataOnly="0" labelOnly="1" grandCol="1" outline="0" fieldPosition="0"/>
    </format>
    <format dxfId="67">
      <pivotArea dataOnly="0" labelOnly="1" grandCol="1" outline="0" fieldPosition="0"/>
    </format>
    <format dxfId="66">
      <pivotArea grandRow="1" outline="0" collapsedLevelsAreSubtotals="1" fieldPosition="0"/>
    </format>
    <format dxfId="65">
      <pivotArea grandRow="1" outline="0" collapsedLevelsAreSubtotals="1" fieldPosition="0"/>
    </format>
    <format dxfId="64">
      <pivotArea dataOnly="0" grandRow="1" fieldPosition="0"/>
    </format>
    <format dxfId="63">
      <pivotArea dataOnly="0" grandRow="1" fieldPosition="0"/>
    </format>
    <format dxfId="62">
      <pivotArea dataOnly="0" labelOnly="1" grandCol="1" outline="0" fieldPosition="0"/>
    </format>
    <format dxfId="61">
      <pivotArea outline="0" collapsedLevelsAreSubtotals="1" fieldPosition="0"/>
    </format>
    <format dxfId="60">
      <pivotArea dataOnly="0" labelOnly="1" grandRow="1" outline="0" fieldPosition="0"/>
    </format>
    <format dxfId="59">
      <pivotArea dataOnly="0" labelOnly="1" grandCol="1" outline="0" fieldPosition="0"/>
    </format>
    <format dxfId="58">
      <pivotArea dataOnly="0" labelOnly="1" grandCol="1" outline="0" fieldPosition="0"/>
    </format>
    <format dxfId="57">
      <pivotArea dataOnly="0" labelOnly="1" grandCol="1" outline="0" fieldPosition="0"/>
    </format>
    <format dxfId="56">
      <pivotArea dataOnly="0" labelOnly="1" grandCol="1" outline="0" fieldPosition="0"/>
    </format>
    <format dxfId="55">
      <pivotArea type="origin" dataOnly="0" labelOnly="1" outline="0" fieldPosition="0"/>
    </format>
    <format dxfId="54">
      <pivotArea field="52" type="button" dataOnly="0" labelOnly="1" outline="0"/>
    </format>
    <format dxfId="53">
      <pivotArea dataOnly="0" labelOnly="1" grandCol="1" outline="0" fieldPosition="0"/>
    </format>
    <format dxfId="52">
      <pivotArea dataOnly="0" labelOnly="1" grandCol="1" outline="0" fieldPosition="0"/>
    </format>
    <format dxfId="51">
      <pivotArea dataOnly="0" labelOnly="1" grandCol="1" outline="0" fieldPosition="0"/>
    </format>
    <format dxfId="50">
      <pivotArea dataOnly="0" labelOnly="1" grandCol="1" outline="0" fieldPosition="0"/>
    </format>
    <format dxfId="49">
      <pivotArea field="86" type="button" dataOnly="0" labelOnly="1" outline="0"/>
    </format>
    <format dxfId="48">
      <pivotArea outline="0" collapsedLevelsAreSubtotals="1" fieldPosition="0"/>
    </format>
    <format dxfId="47">
      <pivotArea type="all" dataOnly="0" outline="0" fieldPosition="0"/>
    </format>
    <format dxfId="46">
      <pivotArea dataOnly="0" labelOnly="1" grandCol="1" outline="0" fieldPosition="0"/>
    </format>
    <format dxfId="45">
      <pivotArea dataOnly="0" labelOnly="1" grandCol="1" outline="0" fieldPosition="0"/>
    </format>
    <format dxfId="44">
      <pivotArea field="50" type="button" dataOnly="0" labelOnly="1" outline="0" axis="axisRow" fieldPosition="0"/>
    </format>
    <format dxfId="43">
      <pivotArea field="73" type="button" dataOnly="0" labelOnly="1" outline="0"/>
    </format>
    <format dxfId="42">
      <pivotArea dataOnly="0" labelOnly="1" fieldPosition="0">
        <references count="1">
          <reference field="50" count="5">
            <x v="0"/>
            <x v="1"/>
            <x v="2"/>
            <x v="3"/>
            <x v="4"/>
          </reference>
        </references>
      </pivotArea>
    </format>
    <format dxfId="41">
      <pivotArea dataOnly="0" fieldPosition="0">
        <references count="1">
          <reference field="50" count="5">
            <x v="0"/>
            <x v="1"/>
            <x v="2"/>
            <x v="3"/>
            <x v="4"/>
          </reference>
        </references>
      </pivotArea>
    </format>
    <format dxfId="4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8.xml><?xml version="1.0" encoding="utf-8"?>
<pivotTableDefinition xmlns="http://schemas.openxmlformats.org/spreadsheetml/2006/main" name="Tabla dinámica5" cacheId="54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B10:D12" firstHeaderRow="0" firstDataRow="1" firstDataCol="1" rowPageCount="1" colPageCount="1"/>
  <pivotFields count="120"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numFmtId="4" showAll="0"/>
    <pivotField showAll="0" defaultSubtotal="0"/>
    <pivotField showAll="0"/>
    <pivotField showAll="0">
      <items count="8">
        <item m="1" x="4"/>
        <item m="1" x="6"/>
        <item m="1" x="5"/>
        <item x="3"/>
        <item x="2"/>
        <item x="1"/>
        <item x="0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multipleItemSelectionAllowed="1" showAll="0" defaultSubtotal="0"/>
    <pivotField showAll="0" defaultSubtotal="0"/>
    <pivotField showAll="0" defaultSubtotal="0"/>
    <pivotField axis="axisRow" showAll="0" defaultSubtotal="0">
      <items count="6">
        <item x="0"/>
        <item x="5"/>
        <item x="1"/>
        <item x="2"/>
        <item x="3"/>
        <item x="4"/>
      </items>
    </pivotField>
    <pivotField showAll="0" defaultSubtotal="0"/>
    <pivotField showAll="0" defaultSubtotal="0">
      <items count="10">
        <item x="2"/>
        <item x="6"/>
        <item x="1"/>
        <item x="7"/>
        <item x="8"/>
        <item x="5"/>
        <item h="1" x="9"/>
        <item h="1" x="0"/>
        <item h="1" x="3"/>
        <item h="1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showAll="0" defaultSubtotal="0">
      <items count="4">
        <item x="0"/>
        <item x="3"/>
        <item x="1"/>
        <item x="2"/>
      </items>
    </pivotField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>
      <items count="8">
        <item x="6"/>
        <item x="2"/>
        <item x="3"/>
        <item x="4"/>
        <item x="1"/>
        <item x="0"/>
        <item h="1" x="5"/>
        <item h="1" x="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m="1" x="1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50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62" item="2" hier="-1"/>
  </pageFields>
  <dataFields count="2">
    <dataField name="COMISION 1" fld="66" subtotal="count" baseField="50" baseItem="0"/>
    <dataField name="COMISION 1 $" fld="66" baseField="50" baseItem="0"/>
  </dataFields>
  <formats count="41">
    <format dxfId="120">
      <pivotArea type="all" dataOnly="0" outline="0" fieldPosition="0"/>
    </format>
    <format dxfId="119">
      <pivotArea type="all" dataOnly="0" outline="0" fieldPosition="0"/>
    </format>
    <format dxfId="118">
      <pivotArea outline="0" collapsedLevelsAreSubtotals="1" fieldPosition="0"/>
    </format>
    <format dxfId="117">
      <pivotArea dataOnly="0" labelOnly="1" grandRow="1" outline="0" fieldPosition="0"/>
    </format>
    <format dxfId="116">
      <pivotArea grandRow="1" outline="0" collapsedLevelsAreSubtotals="1" fieldPosition="0"/>
    </format>
    <format dxfId="115">
      <pivotArea dataOnly="0" labelOnly="1" grandRow="1" outline="0" fieldPosition="0"/>
    </format>
    <format dxfId="114">
      <pivotArea grandRow="1" outline="0" collapsedLevelsAreSubtotals="1" fieldPosition="0"/>
    </format>
    <format dxfId="113">
      <pivotArea dataOnly="0" labelOnly="1" grandRow="1" outline="0" fieldPosition="0"/>
    </format>
    <format dxfId="112">
      <pivotArea field="12" type="button" dataOnly="0" labelOnly="1" outline="0"/>
    </format>
    <format dxfId="111">
      <pivotArea dataOnly="0" labelOnly="1" grandCol="1" outline="0" fieldPosition="0"/>
    </format>
    <format dxfId="110">
      <pivotArea dataOnly="0" labelOnly="1" grandCol="1" outline="0" fieldPosition="0"/>
    </format>
    <format dxfId="109">
      <pivotArea dataOnly="0" labelOnly="1" grandCol="1" outline="0" fieldPosition="0"/>
    </format>
    <format dxfId="108">
      <pivotArea dataOnly="0" labelOnly="1" grandCol="1" outline="0" fieldPosition="0"/>
    </format>
    <format dxfId="107">
      <pivotArea grandRow="1" outline="0" collapsedLevelsAreSubtotals="1" fieldPosition="0"/>
    </format>
    <format dxfId="106">
      <pivotArea grandRow="1" outline="0" collapsedLevelsAreSubtotals="1" fieldPosition="0"/>
    </format>
    <format dxfId="105">
      <pivotArea dataOnly="0" grandRow="1" fieldPosition="0"/>
    </format>
    <format dxfId="104">
      <pivotArea dataOnly="0" grandRow="1" fieldPosition="0"/>
    </format>
    <format dxfId="103">
      <pivotArea dataOnly="0" labelOnly="1" grandCol="1" outline="0" fieldPosition="0"/>
    </format>
    <format dxfId="102">
      <pivotArea outline="0" collapsedLevelsAreSubtotals="1" fieldPosition="0"/>
    </format>
    <format dxfId="101">
      <pivotArea dataOnly="0" labelOnly="1" grandRow="1" outline="0" fieldPosition="0"/>
    </format>
    <format dxfId="100">
      <pivotArea dataOnly="0" labelOnly="1" grandCol="1" outline="0" fieldPosition="0"/>
    </format>
    <format dxfId="99">
      <pivotArea dataOnly="0" labelOnly="1" grandCol="1" outline="0" fieldPosition="0"/>
    </format>
    <format dxfId="98">
      <pivotArea dataOnly="0" labelOnly="1" grandCol="1" outline="0" fieldPosition="0"/>
    </format>
    <format dxfId="97">
      <pivotArea dataOnly="0" labelOnly="1" grandCol="1" outline="0" fieldPosition="0"/>
    </format>
    <format dxfId="96">
      <pivotArea type="origin" dataOnly="0" labelOnly="1" outline="0" fieldPosition="0"/>
    </format>
    <format dxfId="95">
      <pivotArea field="52" type="button" dataOnly="0" labelOnly="1" outline="0"/>
    </format>
    <format dxfId="94">
      <pivotArea dataOnly="0" labelOnly="1" grandCol="1" outline="0" fieldPosition="0"/>
    </format>
    <format dxfId="93">
      <pivotArea dataOnly="0" labelOnly="1" grandCol="1" outline="0" fieldPosition="0"/>
    </format>
    <format dxfId="92">
      <pivotArea dataOnly="0" labelOnly="1" grandCol="1" outline="0" fieldPosition="0"/>
    </format>
    <format dxfId="91">
      <pivotArea dataOnly="0" labelOnly="1" grandCol="1" outline="0" fieldPosition="0"/>
    </format>
    <format dxfId="90">
      <pivotArea field="86" type="button" dataOnly="0" labelOnly="1" outline="0"/>
    </format>
    <format dxfId="89">
      <pivotArea outline="0" collapsedLevelsAreSubtotals="1" fieldPosition="0"/>
    </format>
    <format dxfId="88">
      <pivotArea type="all" dataOnly="0" outline="0" fieldPosition="0"/>
    </format>
    <format dxfId="87">
      <pivotArea dataOnly="0" labelOnly="1" grandCol="1" outline="0" fieldPosition="0"/>
    </format>
    <format dxfId="86">
      <pivotArea dataOnly="0" labelOnly="1" grandCol="1" outline="0" fieldPosition="0"/>
    </format>
    <format dxfId="85">
      <pivotArea field="50" type="button" dataOnly="0" labelOnly="1" outline="0" axis="axisRow" fieldPosition="0"/>
    </format>
    <format dxfId="84">
      <pivotArea field="73" type="button" dataOnly="0" labelOnly="1" outline="0"/>
    </format>
    <format dxfId="83">
      <pivotArea dataOnly="0" labelOnly="1" fieldPosition="0">
        <references count="1">
          <reference field="50" count="5">
            <x v="0"/>
            <x v="1"/>
            <x v="2"/>
            <x v="3"/>
            <x v="4"/>
          </reference>
        </references>
      </pivotArea>
    </format>
    <format dxfId="82">
      <pivotArea dataOnly="0" labelOnly="1" fieldPosition="0">
        <references count="2">
          <reference field="50" count="1" selected="0">
            <x v="0"/>
          </reference>
          <reference field="62" count="1">
            <x v="0"/>
          </reference>
        </references>
      </pivotArea>
    </format>
    <format dxfId="81">
      <pivotArea dataOnly="0" fieldPosition="0">
        <references count="1">
          <reference field="50" count="5">
            <x v="0"/>
            <x v="1"/>
            <x v="2"/>
            <x v="3"/>
            <x v="4"/>
          </reference>
        </references>
      </pivotArea>
    </format>
    <format dxfId="8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9.xml><?xml version="1.0" encoding="utf-8"?>
<pivotTableDefinition xmlns="http://schemas.openxmlformats.org/spreadsheetml/2006/main" name="Tabla dinámica7" cacheId="54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H10:J16" firstHeaderRow="0" firstDataRow="1" firstDataCol="1" rowPageCount="1" colPageCount="1"/>
  <pivotFields count="120"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numFmtId="4" showAll="0"/>
    <pivotField showAll="0" defaultSubtotal="0"/>
    <pivotField showAll="0"/>
    <pivotField showAll="0">
      <items count="8">
        <item m="1" x="4"/>
        <item m="1" x="6"/>
        <item m="1" x="5"/>
        <item x="3"/>
        <item x="2"/>
        <item x="1"/>
        <item x="0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multipleItemSelectionAllowed="1" showAll="0" defaultSubtotal="0"/>
    <pivotField showAll="0" defaultSubtotal="0"/>
    <pivotField showAll="0" defaultSubtotal="0"/>
    <pivotField axis="axisRow" showAll="0" defaultSubtotal="0">
      <items count="6">
        <item x="0"/>
        <item x="5"/>
        <item x="1"/>
        <item x="2"/>
        <item x="3"/>
        <item x="4"/>
      </items>
    </pivotField>
    <pivotField showAll="0" defaultSubtotal="0"/>
    <pivotField showAll="0" defaultSubtotal="0">
      <items count="10">
        <item x="2"/>
        <item x="6"/>
        <item x="1"/>
        <item x="7"/>
        <item x="8"/>
        <item x="5"/>
        <item h="1" x="9"/>
        <item h="1" x="0"/>
        <item h="1" x="3"/>
        <item h="1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showAll="0" defaultSubtotal="0">
      <items count="4">
        <item x="0"/>
        <item x="3"/>
        <item x="1"/>
        <item x="2"/>
      </items>
    </pivotField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>
      <items count="8">
        <item x="6"/>
        <item x="2"/>
        <item x="3"/>
        <item x="4"/>
        <item x="1"/>
        <item x="0"/>
        <item h="1" x="5"/>
        <item h="1" x="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m="1" x="1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5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62" item="0" hier="-1"/>
  </pageFields>
  <dataFields count="2">
    <dataField name="COMISION 1" fld="66" subtotal="count" baseField="50" baseItem="0"/>
    <dataField name="COMISION 1 $" fld="66" baseField="50" baseItem="0"/>
  </dataFields>
  <formats count="41">
    <format dxfId="161">
      <pivotArea type="all" dataOnly="0" outline="0" fieldPosition="0"/>
    </format>
    <format dxfId="160">
      <pivotArea type="all" dataOnly="0" outline="0" fieldPosition="0"/>
    </format>
    <format dxfId="159">
      <pivotArea outline="0" collapsedLevelsAreSubtotals="1" fieldPosition="0"/>
    </format>
    <format dxfId="158">
      <pivotArea dataOnly="0" labelOnly="1" grandRow="1" outline="0" fieldPosition="0"/>
    </format>
    <format dxfId="157">
      <pivotArea grandRow="1" outline="0" collapsedLevelsAreSubtotals="1" fieldPosition="0"/>
    </format>
    <format dxfId="156">
      <pivotArea dataOnly="0" labelOnly="1" grandRow="1" outline="0" fieldPosition="0"/>
    </format>
    <format dxfId="155">
      <pivotArea grandRow="1" outline="0" collapsedLevelsAreSubtotals="1" fieldPosition="0"/>
    </format>
    <format dxfId="154">
      <pivotArea dataOnly="0" labelOnly="1" grandRow="1" outline="0" fieldPosition="0"/>
    </format>
    <format dxfId="153">
      <pivotArea field="12" type="button" dataOnly="0" labelOnly="1" outline="0"/>
    </format>
    <format dxfId="152">
      <pivotArea dataOnly="0" labelOnly="1" grandCol="1" outline="0" fieldPosition="0"/>
    </format>
    <format dxfId="151">
      <pivotArea dataOnly="0" labelOnly="1" grandCol="1" outline="0" fieldPosition="0"/>
    </format>
    <format dxfId="150">
      <pivotArea dataOnly="0" labelOnly="1" grandCol="1" outline="0" fieldPosition="0"/>
    </format>
    <format dxfId="149">
      <pivotArea dataOnly="0" labelOnly="1" grandCol="1" outline="0" fieldPosition="0"/>
    </format>
    <format dxfId="148">
      <pivotArea grandRow="1" outline="0" collapsedLevelsAreSubtotals="1" fieldPosition="0"/>
    </format>
    <format dxfId="147">
      <pivotArea grandRow="1" outline="0" collapsedLevelsAreSubtotals="1" fieldPosition="0"/>
    </format>
    <format dxfId="146">
      <pivotArea dataOnly="0" grandRow="1" fieldPosition="0"/>
    </format>
    <format dxfId="145">
      <pivotArea dataOnly="0" grandRow="1" fieldPosition="0"/>
    </format>
    <format dxfId="144">
      <pivotArea dataOnly="0" labelOnly="1" grandCol="1" outline="0" fieldPosition="0"/>
    </format>
    <format dxfId="143">
      <pivotArea outline="0" collapsedLevelsAreSubtotals="1" fieldPosition="0"/>
    </format>
    <format dxfId="142">
      <pivotArea dataOnly="0" labelOnly="1" grandRow="1" outline="0" fieldPosition="0"/>
    </format>
    <format dxfId="141">
      <pivotArea dataOnly="0" labelOnly="1" grandCol="1" outline="0" fieldPosition="0"/>
    </format>
    <format dxfId="140">
      <pivotArea dataOnly="0" labelOnly="1" grandCol="1" outline="0" fieldPosition="0"/>
    </format>
    <format dxfId="139">
      <pivotArea dataOnly="0" labelOnly="1" grandCol="1" outline="0" fieldPosition="0"/>
    </format>
    <format dxfId="138">
      <pivotArea dataOnly="0" labelOnly="1" grandCol="1" outline="0" fieldPosition="0"/>
    </format>
    <format dxfId="137">
      <pivotArea type="origin" dataOnly="0" labelOnly="1" outline="0" fieldPosition="0"/>
    </format>
    <format dxfId="136">
      <pivotArea field="52" type="button" dataOnly="0" labelOnly="1" outline="0"/>
    </format>
    <format dxfId="135">
      <pivotArea dataOnly="0" labelOnly="1" grandCol="1" outline="0" fieldPosition="0"/>
    </format>
    <format dxfId="134">
      <pivotArea dataOnly="0" labelOnly="1" grandCol="1" outline="0" fieldPosition="0"/>
    </format>
    <format dxfId="133">
      <pivotArea dataOnly="0" labelOnly="1" grandCol="1" outline="0" fieldPosition="0"/>
    </format>
    <format dxfId="132">
      <pivotArea dataOnly="0" labelOnly="1" grandCol="1" outline="0" fieldPosition="0"/>
    </format>
    <format dxfId="131">
      <pivotArea field="86" type="button" dataOnly="0" labelOnly="1" outline="0"/>
    </format>
    <format dxfId="130">
      <pivotArea outline="0" collapsedLevelsAreSubtotals="1" fieldPosition="0"/>
    </format>
    <format dxfId="129">
      <pivotArea type="all" dataOnly="0" outline="0" fieldPosition="0"/>
    </format>
    <format dxfId="128">
      <pivotArea dataOnly="0" labelOnly="1" grandCol="1" outline="0" fieldPosition="0"/>
    </format>
    <format dxfId="127">
      <pivotArea dataOnly="0" labelOnly="1" grandCol="1" outline="0" fieldPosition="0"/>
    </format>
    <format dxfId="126">
      <pivotArea field="50" type="button" dataOnly="0" labelOnly="1" outline="0" axis="axisRow" fieldPosition="0"/>
    </format>
    <format dxfId="125">
      <pivotArea field="73" type="button" dataOnly="0" labelOnly="1" outline="0"/>
    </format>
    <format dxfId="124">
      <pivotArea dataOnly="0" labelOnly="1" fieldPosition="0">
        <references count="1">
          <reference field="50" count="5">
            <x v="0"/>
            <x v="1"/>
            <x v="2"/>
            <x v="3"/>
            <x v="4"/>
          </reference>
        </references>
      </pivotArea>
    </format>
    <format dxfId="123">
      <pivotArea dataOnly="0" labelOnly="1" fieldPosition="0">
        <references count="2">
          <reference field="50" count="1" selected="0">
            <x v="0"/>
          </reference>
          <reference field="62" count="1">
            <x v="0"/>
          </reference>
        </references>
      </pivotArea>
    </format>
    <format dxfId="122">
      <pivotArea dataOnly="0" fieldPosition="0">
        <references count="1">
          <reference field="50" count="5">
            <x v="0"/>
            <x v="1"/>
            <x v="2"/>
            <x v="3"/>
            <x v="4"/>
          </reference>
        </references>
      </pivotArea>
    </format>
    <format dxfId="12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0.xml><?xml version="1.0" encoding="utf-8"?>
<pivotTableDefinition xmlns="http://schemas.openxmlformats.org/spreadsheetml/2006/main" name="Tabla dinámica6" cacheId="54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H22:J28" firstHeaderRow="0" firstDataRow="1" firstDataCol="1" rowPageCount="1" colPageCount="1"/>
  <pivotFields count="120"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numFmtId="4" showAll="0"/>
    <pivotField showAll="0" defaultSubtotal="0"/>
    <pivotField showAll="0"/>
    <pivotField showAll="0">
      <items count="8">
        <item m="1" x="4"/>
        <item m="1" x="6"/>
        <item m="1" x="5"/>
        <item x="3"/>
        <item x="2"/>
        <item x="1"/>
        <item x="0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multipleItemSelectionAllowed="1" showAll="0" defaultSubtotal="0"/>
    <pivotField showAll="0" defaultSubtotal="0"/>
    <pivotField showAll="0" defaultSubtotal="0"/>
    <pivotField axis="axisRow" showAll="0" defaultSubtotal="0">
      <items count="6">
        <item x="0"/>
        <item x="5"/>
        <item x="1"/>
        <item x="2"/>
        <item x="3"/>
        <item x="4"/>
      </items>
    </pivotField>
    <pivotField showAll="0" defaultSubtotal="0"/>
    <pivotField showAll="0" defaultSubtotal="0">
      <items count="10">
        <item x="2"/>
        <item x="6"/>
        <item x="1"/>
        <item x="7"/>
        <item x="8"/>
        <item x="5"/>
        <item h="1" x="9"/>
        <item h="1" x="0"/>
        <item h="1" x="3"/>
        <item h="1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showAll="0" defaultSubtotal="0">
      <items count="3">
        <item x="1"/>
        <item x="0"/>
        <item x="2"/>
      </items>
    </pivotField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>
      <items count="8">
        <item x="6"/>
        <item x="2"/>
        <item x="3"/>
        <item x="4"/>
        <item x="1"/>
        <item x="0"/>
        <item h="1" x="5"/>
        <item h="1" x="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m="1" x="1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5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63" item="0" hier="-1"/>
  </pageFields>
  <dataFields count="2">
    <dataField name="COMISION 2" fld="67" subtotal="count" baseField="0" baseItem="0"/>
    <dataField name="COMISION 2 $" fld="67" baseField="50" baseItem="0"/>
  </dataFields>
  <formats count="40">
    <format dxfId="201">
      <pivotArea type="all" dataOnly="0" outline="0" fieldPosition="0"/>
    </format>
    <format dxfId="200">
      <pivotArea type="all" dataOnly="0" outline="0" fieldPosition="0"/>
    </format>
    <format dxfId="199">
      <pivotArea outline="0" collapsedLevelsAreSubtotals="1" fieldPosition="0"/>
    </format>
    <format dxfId="198">
      <pivotArea dataOnly="0" labelOnly="1" grandRow="1" outline="0" fieldPosition="0"/>
    </format>
    <format dxfId="197">
      <pivotArea grandRow="1" outline="0" collapsedLevelsAreSubtotals="1" fieldPosition="0"/>
    </format>
    <format dxfId="196">
      <pivotArea dataOnly="0" labelOnly="1" grandRow="1" outline="0" fieldPosition="0"/>
    </format>
    <format dxfId="195">
      <pivotArea grandRow="1" outline="0" collapsedLevelsAreSubtotals="1" fieldPosition="0"/>
    </format>
    <format dxfId="194">
      <pivotArea dataOnly="0" labelOnly="1" grandRow="1" outline="0" fieldPosition="0"/>
    </format>
    <format dxfId="193">
      <pivotArea field="12" type="button" dataOnly="0" labelOnly="1" outline="0"/>
    </format>
    <format dxfId="192">
      <pivotArea dataOnly="0" labelOnly="1" grandCol="1" outline="0" fieldPosition="0"/>
    </format>
    <format dxfId="191">
      <pivotArea dataOnly="0" labelOnly="1" grandCol="1" outline="0" fieldPosition="0"/>
    </format>
    <format dxfId="190">
      <pivotArea dataOnly="0" labelOnly="1" grandCol="1" outline="0" fieldPosition="0"/>
    </format>
    <format dxfId="189">
      <pivotArea dataOnly="0" labelOnly="1" grandCol="1" outline="0" fieldPosition="0"/>
    </format>
    <format dxfId="188">
      <pivotArea grandRow="1" outline="0" collapsedLevelsAreSubtotals="1" fieldPosition="0"/>
    </format>
    <format dxfId="187">
      <pivotArea grandRow="1" outline="0" collapsedLevelsAreSubtotals="1" fieldPosition="0"/>
    </format>
    <format dxfId="186">
      <pivotArea dataOnly="0" grandRow="1" fieldPosition="0"/>
    </format>
    <format dxfId="185">
      <pivotArea dataOnly="0" grandRow="1" fieldPosition="0"/>
    </format>
    <format dxfId="184">
      <pivotArea dataOnly="0" labelOnly="1" grandCol="1" outline="0" fieldPosition="0"/>
    </format>
    <format dxfId="183">
      <pivotArea outline="0" collapsedLevelsAreSubtotals="1" fieldPosition="0"/>
    </format>
    <format dxfId="182">
      <pivotArea dataOnly="0" labelOnly="1" grandRow="1" outline="0" fieldPosition="0"/>
    </format>
    <format dxfId="181">
      <pivotArea dataOnly="0" labelOnly="1" grandCol="1" outline="0" fieldPosition="0"/>
    </format>
    <format dxfId="180">
      <pivotArea dataOnly="0" labelOnly="1" grandCol="1" outline="0" fieldPosition="0"/>
    </format>
    <format dxfId="179">
      <pivotArea dataOnly="0" labelOnly="1" grandCol="1" outline="0" fieldPosition="0"/>
    </format>
    <format dxfId="178">
      <pivotArea dataOnly="0" labelOnly="1" grandCol="1" outline="0" fieldPosition="0"/>
    </format>
    <format dxfId="177">
      <pivotArea type="origin" dataOnly="0" labelOnly="1" outline="0" fieldPosition="0"/>
    </format>
    <format dxfId="176">
      <pivotArea field="52" type="button" dataOnly="0" labelOnly="1" outline="0"/>
    </format>
    <format dxfId="175">
      <pivotArea dataOnly="0" labelOnly="1" grandCol="1" outline="0" fieldPosition="0"/>
    </format>
    <format dxfId="174">
      <pivotArea dataOnly="0" labelOnly="1" grandCol="1" outline="0" fieldPosition="0"/>
    </format>
    <format dxfId="173">
      <pivotArea dataOnly="0" labelOnly="1" grandCol="1" outline="0" fieldPosition="0"/>
    </format>
    <format dxfId="172">
      <pivotArea dataOnly="0" labelOnly="1" grandCol="1" outline="0" fieldPosition="0"/>
    </format>
    <format dxfId="171">
      <pivotArea field="86" type="button" dataOnly="0" labelOnly="1" outline="0"/>
    </format>
    <format dxfId="170">
      <pivotArea outline="0" collapsedLevelsAreSubtotals="1" fieldPosition="0"/>
    </format>
    <format dxfId="169">
      <pivotArea type="all" dataOnly="0" outline="0" fieldPosition="0"/>
    </format>
    <format dxfId="168">
      <pivotArea dataOnly="0" labelOnly="1" grandCol="1" outline="0" fieldPosition="0"/>
    </format>
    <format dxfId="167">
      <pivotArea dataOnly="0" labelOnly="1" grandCol="1" outline="0" fieldPosition="0"/>
    </format>
    <format dxfId="166">
      <pivotArea field="50" type="button" dataOnly="0" labelOnly="1" outline="0" axis="axisRow" fieldPosition="0"/>
    </format>
    <format dxfId="165">
      <pivotArea field="73" type="button" dataOnly="0" labelOnly="1" outline="0"/>
    </format>
    <format dxfId="164">
      <pivotArea dataOnly="0" labelOnly="1" fieldPosition="0">
        <references count="1">
          <reference field="50" count="5">
            <x v="0"/>
            <x v="1"/>
            <x v="2"/>
            <x v="3"/>
            <x v="4"/>
          </reference>
        </references>
      </pivotArea>
    </format>
    <format dxfId="163">
      <pivotArea dataOnly="0" fieldPosition="0">
        <references count="1">
          <reference field="50" count="5">
            <x v="0"/>
            <x v="1"/>
            <x v="2"/>
            <x v="3"/>
            <x v="4"/>
          </reference>
        </references>
      </pivotArea>
    </format>
    <format dxfId="16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1.xml><?xml version="1.0" encoding="utf-8"?>
<pivotTableDefinition xmlns="http://schemas.openxmlformats.org/spreadsheetml/2006/main" name="Tabla dinámica4" cacheId="54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H34:J39" firstHeaderRow="0" firstDataRow="1" firstDataCol="1" rowPageCount="1" colPageCount="1"/>
  <pivotFields count="120"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numFmtId="4" showAll="0"/>
    <pivotField showAll="0" defaultSubtotal="0"/>
    <pivotField showAll="0"/>
    <pivotField showAll="0">
      <items count="8">
        <item m="1" x="4"/>
        <item m="1" x="6"/>
        <item m="1" x="5"/>
        <item x="3"/>
        <item x="2"/>
        <item x="1"/>
        <item x="0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multipleItemSelectionAllowed="1" showAll="0" defaultSubtotal="0"/>
    <pivotField showAll="0" defaultSubtotal="0"/>
    <pivotField showAll="0" defaultSubtotal="0"/>
    <pivotField axis="axisRow" showAll="0" defaultSubtotal="0">
      <items count="6">
        <item x="0"/>
        <item x="5"/>
        <item x="1"/>
        <item x="2"/>
        <item x="3"/>
        <item x="4"/>
      </items>
    </pivotField>
    <pivotField showAll="0" defaultSubtotal="0"/>
    <pivotField showAll="0" defaultSubtotal="0">
      <items count="10">
        <item x="2"/>
        <item x="6"/>
        <item x="1"/>
        <item x="7"/>
        <item x="8"/>
        <item x="5"/>
        <item h="1" x="9"/>
        <item h="1" x="0"/>
        <item h="1" x="3"/>
        <item h="1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showAll="0" defaultSubtotal="0">
      <items count="3">
        <item x="1"/>
        <item x="0"/>
        <item x="2"/>
      </items>
    </pivotField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>
      <items count="8">
        <item x="6"/>
        <item x="2"/>
        <item x="3"/>
        <item x="4"/>
        <item x="1"/>
        <item x="0"/>
        <item h="1" x="5"/>
        <item h="1" x="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m="1" x="1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50"/>
  </rowFields>
  <rowItems count="5">
    <i>
      <x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64" item="0" hier="-1"/>
  </pageFields>
  <dataFields count="2">
    <dataField name="COMISION 3" fld="68" subtotal="count" baseField="0" baseItem="0"/>
    <dataField name="COMISION 3 $" fld="68" baseField="50" baseItem="0"/>
  </dataFields>
  <formats count="40">
    <format dxfId="241">
      <pivotArea type="all" dataOnly="0" outline="0" fieldPosition="0"/>
    </format>
    <format dxfId="240">
      <pivotArea type="all" dataOnly="0" outline="0" fieldPosition="0"/>
    </format>
    <format dxfId="239">
      <pivotArea outline="0" collapsedLevelsAreSubtotals="1" fieldPosition="0"/>
    </format>
    <format dxfId="238">
      <pivotArea dataOnly="0" labelOnly="1" grandRow="1" outline="0" fieldPosition="0"/>
    </format>
    <format dxfId="237">
      <pivotArea grandRow="1" outline="0" collapsedLevelsAreSubtotals="1" fieldPosition="0"/>
    </format>
    <format dxfId="236">
      <pivotArea dataOnly="0" labelOnly="1" grandRow="1" outline="0" fieldPosition="0"/>
    </format>
    <format dxfId="235">
      <pivotArea grandRow="1" outline="0" collapsedLevelsAreSubtotals="1" fieldPosition="0"/>
    </format>
    <format dxfId="234">
      <pivotArea dataOnly="0" labelOnly="1" grandRow="1" outline="0" fieldPosition="0"/>
    </format>
    <format dxfId="233">
      <pivotArea field="12" type="button" dataOnly="0" labelOnly="1" outline="0"/>
    </format>
    <format dxfId="232">
      <pivotArea dataOnly="0" labelOnly="1" grandCol="1" outline="0" fieldPosition="0"/>
    </format>
    <format dxfId="231">
      <pivotArea dataOnly="0" labelOnly="1" grandCol="1" outline="0" fieldPosition="0"/>
    </format>
    <format dxfId="230">
      <pivotArea dataOnly="0" labelOnly="1" grandCol="1" outline="0" fieldPosition="0"/>
    </format>
    <format dxfId="229">
      <pivotArea dataOnly="0" labelOnly="1" grandCol="1" outline="0" fieldPosition="0"/>
    </format>
    <format dxfId="228">
      <pivotArea grandRow="1" outline="0" collapsedLevelsAreSubtotals="1" fieldPosition="0"/>
    </format>
    <format dxfId="227">
      <pivotArea grandRow="1" outline="0" collapsedLevelsAreSubtotals="1" fieldPosition="0"/>
    </format>
    <format dxfId="226">
      <pivotArea dataOnly="0" grandRow="1" fieldPosition="0"/>
    </format>
    <format dxfId="225">
      <pivotArea dataOnly="0" grandRow="1" fieldPosition="0"/>
    </format>
    <format dxfId="224">
      <pivotArea dataOnly="0" labelOnly="1" grandCol="1" outline="0" fieldPosition="0"/>
    </format>
    <format dxfId="223">
      <pivotArea outline="0" collapsedLevelsAreSubtotals="1" fieldPosition="0"/>
    </format>
    <format dxfId="222">
      <pivotArea dataOnly="0" labelOnly="1" grandRow="1" outline="0" fieldPosition="0"/>
    </format>
    <format dxfId="221">
      <pivotArea dataOnly="0" labelOnly="1" grandCol="1" outline="0" fieldPosition="0"/>
    </format>
    <format dxfId="220">
      <pivotArea dataOnly="0" labelOnly="1" grandCol="1" outline="0" fieldPosition="0"/>
    </format>
    <format dxfId="219">
      <pivotArea dataOnly="0" labelOnly="1" grandCol="1" outline="0" fieldPosition="0"/>
    </format>
    <format dxfId="218">
      <pivotArea dataOnly="0" labelOnly="1" grandCol="1" outline="0" fieldPosition="0"/>
    </format>
    <format dxfId="217">
      <pivotArea type="origin" dataOnly="0" labelOnly="1" outline="0" fieldPosition="0"/>
    </format>
    <format dxfId="216">
      <pivotArea field="52" type="button" dataOnly="0" labelOnly="1" outline="0"/>
    </format>
    <format dxfId="215">
      <pivotArea dataOnly="0" labelOnly="1" grandCol="1" outline="0" fieldPosition="0"/>
    </format>
    <format dxfId="214">
      <pivotArea dataOnly="0" labelOnly="1" grandCol="1" outline="0" fieldPosition="0"/>
    </format>
    <format dxfId="213">
      <pivotArea dataOnly="0" labelOnly="1" grandCol="1" outline="0" fieldPosition="0"/>
    </format>
    <format dxfId="212">
      <pivotArea dataOnly="0" labelOnly="1" grandCol="1" outline="0" fieldPosition="0"/>
    </format>
    <format dxfId="211">
      <pivotArea field="86" type="button" dataOnly="0" labelOnly="1" outline="0"/>
    </format>
    <format dxfId="210">
      <pivotArea outline="0" collapsedLevelsAreSubtotals="1" fieldPosition="0"/>
    </format>
    <format dxfId="209">
      <pivotArea type="all" dataOnly="0" outline="0" fieldPosition="0"/>
    </format>
    <format dxfId="208">
      <pivotArea dataOnly="0" labelOnly="1" grandCol="1" outline="0" fieldPosition="0"/>
    </format>
    <format dxfId="207">
      <pivotArea dataOnly="0" labelOnly="1" grandCol="1" outline="0" fieldPosition="0"/>
    </format>
    <format dxfId="206">
      <pivotArea field="50" type="button" dataOnly="0" labelOnly="1" outline="0" axis="axisRow" fieldPosition="0"/>
    </format>
    <format dxfId="205">
      <pivotArea field="73" type="button" dataOnly="0" labelOnly="1" outline="0"/>
    </format>
    <format dxfId="204">
      <pivotArea dataOnly="0" labelOnly="1" fieldPosition="0">
        <references count="1">
          <reference field="50" count="5">
            <x v="0"/>
            <x v="1"/>
            <x v="2"/>
            <x v="3"/>
            <x v="4"/>
          </reference>
        </references>
      </pivotArea>
    </format>
    <format dxfId="203">
      <pivotArea dataOnly="0" fieldPosition="0">
        <references count="1">
          <reference field="50" count="5">
            <x v="0"/>
            <x v="1"/>
            <x v="2"/>
            <x v="3"/>
            <x v="4"/>
          </reference>
        </references>
      </pivotArea>
    </format>
    <format dxfId="20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5.bin"/><Relationship Id="rId4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pivotTable" Target="../pivotTables/pivotTable25.xml"/><Relationship Id="rId18" Type="http://schemas.openxmlformats.org/officeDocument/2006/relationships/pivotTable" Target="../pivotTables/pivotTable30.xml"/><Relationship Id="rId26" Type="http://schemas.openxmlformats.org/officeDocument/2006/relationships/pivotTable" Target="../pivotTables/pivotTable38.xml"/><Relationship Id="rId39" Type="http://schemas.openxmlformats.org/officeDocument/2006/relationships/pivotTable" Target="../pivotTables/pivotTable51.xml"/><Relationship Id="rId21" Type="http://schemas.openxmlformats.org/officeDocument/2006/relationships/pivotTable" Target="../pivotTables/pivotTable33.xml"/><Relationship Id="rId34" Type="http://schemas.openxmlformats.org/officeDocument/2006/relationships/pivotTable" Target="../pivotTables/pivotTable46.xml"/><Relationship Id="rId42" Type="http://schemas.openxmlformats.org/officeDocument/2006/relationships/pivotTable" Target="../pivotTables/pivotTable54.xml"/><Relationship Id="rId47" Type="http://schemas.openxmlformats.org/officeDocument/2006/relationships/pivotTable" Target="../pivotTables/pivotTable59.xml"/><Relationship Id="rId50" Type="http://schemas.openxmlformats.org/officeDocument/2006/relationships/pivotTable" Target="../pivotTables/pivotTable62.xml"/><Relationship Id="rId55" Type="http://schemas.openxmlformats.org/officeDocument/2006/relationships/pivotTable" Target="../pivotTables/pivotTable67.xml"/><Relationship Id="rId7" Type="http://schemas.openxmlformats.org/officeDocument/2006/relationships/pivotTable" Target="../pivotTables/pivotTable19.xml"/><Relationship Id="rId2" Type="http://schemas.openxmlformats.org/officeDocument/2006/relationships/pivotTable" Target="../pivotTables/pivotTable14.xml"/><Relationship Id="rId16" Type="http://schemas.openxmlformats.org/officeDocument/2006/relationships/pivotTable" Target="../pivotTables/pivotTable28.xml"/><Relationship Id="rId20" Type="http://schemas.openxmlformats.org/officeDocument/2006/relationships/pivotTable" Target="../pivotTables/pivotTable32.xml"/><Relationship Id="rId29" Type="http://schemas.openxmlformats.org/officeDocument/2006/relationships/pivotTable" Target="../pivotTables/pivotTable41.xml"/><Relationship Id="rId41" Type="http://schemas.openxmlformats.org/officeDocument/2006/relationships/pivotTable" Target="../pivotTables/pivotTable53.xml"/><Relationship Id="rId54" Type="http://schemas.openxmlformats.org/officeDocument/2006/relationships/pivotTable" Target="../pivotTables/pivotTable66.xml"/><Relationship Id="rId1" Type="http://schemas.openxmlformats.org/officeDocument/2006/relationships/pivotTable" Target="../pivotTables/pivotTable13.xml"/><Relationship Id="rId6" Type="http://schemas.openxmlformats.org/officeDocument/2006/relationships/pivotTable" Target="../pivotTables/pivotTable18.xml"/><Relationship Id="rId11" Type="http://schemas.openxmlformats.org/officeDocument/2006/relationships/pivotTable" Target="../pivotTables/pivotTable23.xml"/><Relationship Id="rId24" Type="http://schemas.openxmlformats.org/officeDocument/2006/relationships/pivotTable" Target="../pivotTables/pivotTable36.xml"/><Relationship Id="rId32" Type="http://schemas.openxmlformats.org/officeDocument/2006/relationships/pivotTable" Target="../pivotTables/pivotTable44.xml"/><Relationship Id="rId37" Type="http://schemas.openxmlformats.org/officeDocument/2006/relationships/pivotTable" Target="../pivotTables/pivotTable49.xml"/><Relationship Id="rId40" Type="http://schemas.openxmlformats.org/officeDocument/2006/relationships/pivotTable" Target="../pivotTables/pivotTable52.xml"/><Relationship Id="rId45" Type="http://schemas.openxmlformats.org/officeDocument/2006/relationships/pivotTable" Target="../pivotTables/pivotTable57.xml"/><Relationship Id="rId53" Type="http://schemas.openxmlformats.org/officeDocument/2006/relationships/pivotTable" Target="../pivotTables/pivotTable65.xml"/><Relationship Id="rId58" Type="http://schemas.openxmlformats.org/officeDocument/2006/relationships/pivotTable" Target="../pivotTables/pivotTable70.xml"/><Relationship Id="rId5" Type="http://schemas.openxmlformats.org/officeDocument/2006/relationships/pivotTable" Target="../pivotTables/pivotTable17.xml"/><Relationship Id="rId15" Type="http://schemas.openxmlformats.org/officeDocument/2006/relationships/pivotTable" Target="../pivotTables/pivotTable27.xml"/><Relationship Id="rId23" Type="http://schemas.openxmlformats.org/officeDocument/2006/relationships/pivotTable" Target="../pivotTables/pivotTable35.xml"/><Relationship Id="rId28" Type="http://schemas.openxmlformats.org/officeDocument/2006/relationships/pivotTable" Target="../pivotTables/pivotTable40.xml"/><Relationship Id="rId36" Type="http://schemas.openxmlformats.org/officeDocument/2006/relationships/pivotTable" Target="../pivotTables/pivotTable48.xml"/><Relationship Id="rId49" Type="http://schemas.openxmlformats.org/officeDocument/2006/relationships/pivotTable" Target="../pivotTables/pivotTable61.xml"/><Relationship Id="rId57" Type="http://schemas.openxmlformats.org/officeDocument/2006/relationships/pivotTable" Target="../pivotTables/pivotTable69.xml"/><Relationship Id="rId61" Type="http://schemas.openxmlformats.org/officeDocument/2006/relationships/printerSettings" Target="../printerSettings/printerSettings7.bin"/><Relationship Id="rId10" Type="http://schemas.openxmlformats.org/officeDocument/2006/relationships/pivotTable" Target="../pivotTables/pivotTable22.xml"/><Relationship Id="rId19" Type="http://schemas.openxmlformats.org/officeDocument/2006/relationships/pivotTable" Target="../pivotTables/pivotTable31.xml"/><Relationship Id="rId31" Type="http://schemas.openxmlformats.org/officeDocument/2006/relationships/pivotTable" Target="../pivotTables/pivotTable43.xml"/><Relationship Id="rId44" Type="http://schemas.openxmlformats.org/officeDocument/2006/relationships/pivotTable" Target="../pivotTables/pivotTable56.xml"/><Relationship Id="rId52" Type="http://schemas.openxmlformats.org/officeDocument/2006/relationships/pivotTable" Target="../pivotTables/pivotTable64.xml"/><Relationship Id="rId60" Type="http://schemas.openxmlformats.org/officeDocument/2006/relationships/pivotTable" Target="../pivotTables/pivotTable72.xml"/><Relationship Id="rId4" Type="http://schemas.openxmlformats.org/officeDocument/2006/relationships/pivotTable" Target="../pivotTables/pivotTable16.xml"/><Relationship Id="rId9" Type="http://schemas.openxmlformats.org/officeDocument/2006/relationships/pivotTable" Target="../pivotTables/pivotTable21.xml"/><Relationship Id="rId14" Type="http://schemas.openxmlformats.org/officeDocument/2006/relationships/pivotTable" Target="../pivotTables/pivotTable26.xml"/><Relationship Id="rId22" Type="http://schemas.openxmlformats.org/officeDocument/2006/relationships/pivotTable" Target="../pivotTables/pivotTable34.xml"/><Relationship Id="rId27" Type="http://schemas.openxmlformats.org/officeDocument/2006/relationships/pivotTable" Target="../pivotTables/pivotTable39.xml"/><Relationship Id="rId30" Type="http://schemas.openxmlformats.org/officeDocument/2006/relationships/pivotTable" Target="../pivotTables/pivotTable42.xml"/><Relationship Id="rId35" Type="http://schemas.openxmlformats.org/officeDocument/2006/relationships/pivotTable" Target="../pivotTables/pivotTable47.xml"/><Relationship Id="rId43" Type="http://schemas.openxmlformats.org/officeDocument/2006/relationships/pivotTable" Target="../pivotTables/pivotTable55.xml"/><Relationship Id="rId48" Type="http://schemas.openxmlformats.org/officeDocument/2006/relationships/pivotTable" Target="../pivotTables/pivotTable60.xml"/><Relationship Id="rId56" Type="http://schemas.openxmlformats.org/officeDocument/2006/relationships/pivotTable" Target="../pivotTables/pivotTable68.xml"/><Relationship Id="rId8" Type="http://schemas.openxmlformats.org/officeDocument/2006/relationships/pivotTable" Target="../pivotTables/pivotTable20.xml"/><Relationship Id="rId51" Type="http://schemas.openxmlformats.org/officeDocument/2006/relationships/pivotTable" Target="../pivotTables/pivotTable63.xml"/><Relationship Id="rId3" Type="http://schemas.openxmlformats.org/officeDocument/2006/relationships/pivotTable" Target="../pivotTables/pivotTable15.xml"/><Relationship Id="rId12" Type="http://schemas.openxmlformats.org/officeDocument/2006/relationships/pivotTable" Target="../pivotTables/pivotTable24.xml"/><Relationship Id="rId17" Type="http://schemas.openxmlformats.org/officeDocument/2006/relationships/pivotTable" Target="../pivotTables/pivotTable29.xml"/><Relationship Id="rId25" Type="http://schemas.openxmlformats.org/officeDocument/2006/relationships/pivotTable" Target="../pivotTables/pivotTable37.xml"/><Relationship Id="rId33" Type="http://schemas.openxmlformats.org/officeDocument/2006/relationships/pivotTable" Target="../pivotTables/pivotTable45.xml"/><Relationship Id="rId38" Type="http://schemas.openxmlformats.org/officeDocument/2006/relationships/pivotTable" Target="../pivotTables/pivotTable50.xml"/><Relationship Id="rId46" Type="http://schemas.openxmlformats.org/officeDocument/2006/relationships/pivotTable" Target="../pivotTables/pivotTable58.xml"/><Relationship Id="rId59" Type="http://schemas.openxmlformats.org/officeDocument/2006/relationships/pivotTable" Target="../pivotTables/pivotTable7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5.xml"/><Relationship Id="rId2" Type="http://schemas.openxmlformats.org/officeDocument/2006/relationships/pivotTable" Target="../pivotTables/pivotTable74.xml"/><Relationship Id="rId1" Type="http://schemas.openxmlformats.org/officeDocument/2006/relationships/pivotTable" Target="../pivotTables/pivotTable7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8.xml"/><Relationship Id="rId2" Type="http://schemas.openxmlformats.org/officeDocument/2006/relationships/pivotTable" Target="../pivotTables/pivotTable77.xml"/><Relationship Id="rId1" Type="http://schemas.openxmlformats.org/officeDocument/2006/relationships/pivotTable" Target="../pivotTables/pivotTable76.xml"/><Relationship Id="rId6" Type="http://schemas.openxmlformats.org/officeDocument/2006/relationships/pivotTable" Target="../pivotTables/pivotTable81.xml"/><Relationship Id="rId5" Type="http://schemas.openxmlformats.org/officeDocument/2006/relationships/pivotTable" Target="../pivotTables/pivotTable80.xml"/><Relationship Id="rId4" Type="http://schemas.openxmlformats.org/officeDocument/2006/relationships/pivotTable" Target="../pivotTables/pivotTable7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omar.casillas@pctvmexico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workbookViewId="0">
      <selection activeCell="I19" sqref="I19"/>
    </sheetView>
  </sheetViews>
  <sheetFormatPr baseColWidth="10" defaultRowHeight="15" x14ac:dyDescent="0.25"/>
  <cols>
    <col min="1" max="1" width="11.42578125" style="1"/>
    <col min="2" max="2" width="19.85546875" style="1" bestFit="1" customWidth="1"/>
    <col min="3" max="3" width="13.5703125" style="1" customWidth="1"/>
    <col min="4" max="4" width="15.42578125" style="1" customWidth="1"/>
    <col min="5" max="5" width="4" style="1" customWidth="1"/>
    <col min="6" max="6" width="5" style="1" customWidth="1"/>
    <col min="7" max="8" width="4" style="1" customWidth="1"/>
    <col min="9" max="9" width="19.85546875" style="1" bestFit="1" customWidth="1"/>
    <col min="10" max="10" width="12" style="1" customWidth="1"/>
    <col min="11" max="17" width="9.140625" style="1" customWidth="1"/>
    <col min="18" max="18" width="12" style="1" customWidth="1"/>
    <col min="19" max="19" width="12.5703125" style="1" customWidth="1"/>
    <col min="20" max="20" width="11.42578125" style="1"/>
    <col min="21" max="21" width="12.5703125" style="1" bestFit="1" customWidth="1"/>
    <col min="22" max="22" width="19.85546875" style="1" customWidth="1"/>
    <col min="23" max="23" width="13.5703125" style="1" customWidth="1"/>
    <col min="24" max="29" width="5.140625" style="1" customWidth="1"/>
    <col min="30" max="30" width="12.5703125" style="1" bestFit="1" customWidth="1"/>
    <col min="31" max="16384" width="11.42578125" style="1"/>
  </cols>
  <sheetData>
    <row r="3" spans="2:4" x14ac:dyDescent="0.25">
      <c r="B3" s="36" t="s">
        <v>29</v>
      </c>
      <c r="C3" s="36" t="s">
        <v>32</v>
      </c>
      <c r="D3" s="36" t="s">
        <v>31</v>
      </c>
    </row>
    <row r="4" spans="2:4" x14ac:dyDescent="0.25">
      <c r="B4" s="32" t="s">
        <v>178</v>
      </c>
      <c r="C4" s="33">
        <v>84</v>
      </c>
      <c r="D4" s="37">
        <v>96149078.999999985</v>
      </c>
    </row>
    <row r="5" spans="2:4" x14ac:dyDescent="0.25">
      <c r="B5" s="27" t="s">
        <v>8</v>
      </c>
      <c r="C5" s="29">
        <v>33</v>
      </c>
      <c r="D5" s="38">
        <v>38298634.200000003</v>
      </c>
    </row>
    <row r="6" spans="2:4" x14ac:dyDescent="0.25">
      <c r="B6" s="27" t="s">
        <v>306</v>
      </c>
      <c r="C6" s="29">
        <v>51</v>
      </c>
      <c r="D6" s="38">
        <v>57850444.799999997</v>
      </c>
    </row>
    <row r="7" spans="2:4" x14ac:dyDescent="0.25">
      <c r="B7" s="32" t="s">
        <v>177</v>
      </c>
      <c r="C7" s="33">
        <v>83</v>
      </c>
      <c r="D7" s="37">
        <v>94755331.599999994</v>
      </c>
    </row>
    <row r="8" spans="2:4" x14ac:dyDescent="0.25">
      <c r="B8" s="27" t="s">
        <v>8</v>
      </c>
      <c r="C8" s="29">
        <v>31</v>
      </c>
      <c r="D8" s="38">
        <v>36050681.799999997</v>
      </c>
    </row>
    <row r="9" spans="2:4" x14ac:dyDescent="0.25">
      <c r="B9" s="27" t="s">
        <v>306</v>
      </c>
      <c r="C9" s="29">
        <v>52</v>
      </c>
      <c r="D9" s="38">
        <v>58704649.800000004</v>
      </c>
    </row>
    <row r="10" spans="2:4" x14ac:dyDescent="0.25">
      <c r="B10" s="32" t="s">
        <v>176</v>
      </c>
      <c r="C10" s="33">
        <v>66</v>
      </c>
      <c r="D10" s="37">
        <v>76827663.599999994</v>
      </c>
    </row>
    <row r="11" spans="2:4" x14ac:dyDescent="0.25">
      <c r="B11" s="27" t="s">
        <v>8</v>
      </c>
      <c r="C11" s="29">
        <v>24</v>
      </c>
      <c r="D11" s="38">
        <v>28881527.800000001</v>
      </c>
    </row>
    <row r="12" spans="2:4" x14ac:dyDescent="0.25">
      <c r="B12" s="27" t="s">
        <v>306</v>
      </c>
      <c r="C12" s="29">
        <v>42</v>
      </c>
      <c r="D12" s="38">
        <v>47946135.799999997</v>
      </c>
    </row>
    <row r="13" spans="2:4" x14ac:dyDescent="0.25">
      <c r="B13" s="34" t="s">
        <v>30</v>
      </c>
      <c r="C13" s="35">
        <v>233</v>
      </c>
      <c r="D13" s="39">
        <v>267732074.20000008</v>
      </c>
    </row>
  </sheetData>
  <pageMargins left="0.7" right="0.7" top="0.75" bottom="0.75" header="0.3" footer="0.3"/>
  <pageSetup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394"/>
  <sheetViews>
    <sheetView zoomScale="90" zoomScaleNormal="90" workbookViewId="0">
      <pane ySplit="975" activePane="bottomLeft"/>
      <selection activeCell="AY1" sqref="AY1:AY1048576"/>
      <selection pane="bottomLeft" activeCell="A3" sqref="A3"/>
    </sheetView>
  </sheetViews>
  <sheetFormatPr baseColWidth="10" defaultRowHeight="15" x14ac:dyDescent="0.25"/>
  <cols>
    <col min="1" max="1" width="8.28515625" style="16" bestFit="1" customWidth="1"/>
    <col min="2" max="2" width="9.140625" style="16" bestFit="1" customWidth="1"/>
    <col min="3" max="3" width="9.140625" style="16" customWidth="1"/>
    <col min="4" max="4" width="5.42578125" style="16" customWidth="1"/>
    <col min="5" max="5" width="4.7109375" style="16" customWidth="1"/>
    <col min="6" max="6" width="4.140625" style="17" customWidth="1"/>
    <col min="7" max="8" width="27.140625" style="16" customWidth="1"/>
    <col min="9" max="9" width="19.42578125" style="16" bestFit="1" customWidth="1"/>
    <col min="10" max="11" width="7.85546875" style="16" customWidth="1"/>
    <col min="12" max="12" width="7.28515625" style="16" customWidth="1"/>
    <col min="13" max="13" width="12" style="18" customWidth="1"/>
    <col min="14" max="14" width="13.28515625" style="18" bestFit="1" customWidth="1"/>
    <col min="15" max="33" width="12" style="18" customWidth="1"/>
    <col min="34" max="34" width="21.28515625" style="18" bestFit="1" customWidth="1"/>
    <col min="35" max="39" width="21.28515625" style="18" customWidth="1"/>
    <col min="40" max="46" width="12" style="18" customWidth="1"/>
    <col min="47" max="47" width="16.7109375" style="18" bestFit="1" customWidth="1"/>
    <col min="48" max="48" width="15.28515625" style="18" bestFit="1" customWidth="1"/>
    <col min="49" max="84" width="12" style="18" customWidth="1"/>
    <col min="85" max="85" width="16.42578125" style="18" bestFit="1" customWidth="1"/>
    <col min="86" max="86" width="15.42578125" style="18" bestFit="1" customWidth="1"/>
    <col min="87" max="89" width="15.42578125" style="18" customWidth="1"/>
    <col min="90" max="153" width="12" style="18" customWidth="1"/>
    <col min="154" max="154" width="13" style="18" customWidth="1"/>
    <col min="155" max="16384" width="11.42578125" style="1"/>
  </cols>
  <sheetData>
    <row r="1" spans="1:163" ht="39.75" thickTop="1" thickBot="1" x14ac:dyDescent="0.3">
      <c r="A1" s="19" t="s">
        <v>0</v>
      </c>
      <c r="B1" s="19" t="s">
        <v>299</v>
      </c>
      <c r="C1" s="19" t="s">
        <v>24</v>
      </c>
      <c r="D1" s="19" t="s">
        <v>1</v>
      </c>
      <c r="E1" s="19" t="s">
        <v>2</v>
      </c>
      <c r="F1" s="19" t="s">
        <v>3</v>
      </c>
      <c r="G1" s="61" t="s">
        <v>4</v>
      </c>
      <c r="H1" s="129" t="s">
        <v>300</v>
      </c>
      <c r="I1" s="63" t="s">
        <v>57</v>
      </c>
      <c r="J1" s="62" t="s">
        <v>355</v>
      </c>
      <c r="K1" s="62" t="s">
        <v>354</v>
      </c>
      <c r="L1" s="19" t="s">
        <v>5</v>
      </c>
      <c r="M1" s="20" t="s">
        <v>25</v>
      </c>
      <c r="N1" s="20" t="s">
        <v>26</v>
      </c>
      <c r="O1" s="20" t="s">
        <v>27</v>
      </c>
      <c r="P1" s="20" t="s">
        <v>55</v>
      </c>
      <c r="Q1" s="20" t="s">
        <v>43</v>
      </c>
      <c r="R1" s="64" t="s">
        <v>56</v>
      </c>
      <c r="S1" s="67" t="s">
        <v>28</v>
      </c>
      <c r="T1" s="152" t="s">
        <v>351</v>
      </c>
      <c r="U1" s="65" t="s">
        <v>350</v>
      </c>
      <c r="V1" s="20" t="s">
        <v>69</v>
      </c>
      <c r="W1" s="20" t="s">
        <v>329</v>
      </c>
      <c r="X1" s="20" t="s">
        <v>330</v>
      </c>
      <c r="Y1" s="20" t="s">
        <v>346</v>
      </c>
      <c r="Z1" s="20" t="s">
        <v>347</v>
      </c>
      <c r="AA1" s="20" t="s">
        <v>331</v>
      </c>
      <c r="AB1" s="20" t="s">
        <v>332</v>
      </c>
      <c r="AC1" s="20" t="s">
        <v>310</v>
      </c>
      <c r="AD1" s="20" t="s">
        <v>311</v>
      </c>
      <c r="AE1" s="20" t="s">
        <v>312</v>
      </c>
      <c r="AF1" s="45" t="s">
        <v>46</v>
      </c>
      <c r="AG1" s="45" t="s">
        <v>161</v>
      </c>
      <c r="AH1" s="45" t="s">
        <v>44</v>
      </c>
      <c r="AI1" s="45" t="s">
        <v>301</v>
      </c>
      <c r="AJ1" s="45" t="s">
        <v>302</v>
      </c>
      <c r="AK1" s="45" t="s">
        <v>303</v>
      </c>
      <c r="AL1" s="45" t="s">
        <v>304</v>
      </c>
      <c r="AM1" s="45" t="s">
        <v>305</v>
      </c>
      <c r="AN1" s="45" t="s">
        <v>108</v>
      </c>
      <c r="AO1" s="45" t="s">
        <v>109</v>
      </c>
      <c r="AP1" s="45" t="s">
        <v>110</v>
      </c>
      <c r="AQ1" s="57" t="s">
        <v>111</v>
      </c>
      <c r="AR1" s="73" t="s">
        <v>190</v>
      </c>
      <c r="AS1" s="73" t="s">
        <v>191</v>
      </c>
      <c r="AT1" s="73" t="s">
        <v>356</v>
      </c>
      <c r="AU1" s="73" t="s">
        <v>357</v>
      </c>
      <c r="AV1" s="60" t="s">
        <v>50</v>
      </c>
      <c r="AW1" s="60" t="s">
        <v>51</v>
      </c>
      <c r="AX1" s="60" t="s">
        <v>45</v>
      </c>
      <c r="AY1" s="73" t="s">
        <v>168</v>
      </c>
      <c r="AZ1" s="58" t="s">
        <v>47</v>
      </c>
      <c r="BA1" s="21" t="s">
        <v>35</v>
      </c>
      <c r="BB1" s="21" t="s">
        <v>48</v>
      </c>
      <c r="BC1" s="21" t="s">
        <v>115</v>
      </c>
      <c r="BD1" s="21" t="s">
        <v>49</v>
      </c>
      <c r="BE1" s="21" t="s">
        <v>313</v>
      </c>
      <c r="BF1" s="21" t="s">
        <v>52</v>
      </c>
      <c r="BG1" s="21" t="s">
        <v>53</v>
      </c>
      <c r="BH1" s="21" t="s">
        <v>474</v>
      </c>
      <c r="BI1" s="21" t="s">
        <v>107</v>
      </c>
      <c r="BJ1" s="68" t="s">
        <v>54</v>
      </c>
      <c r="BK1" s="163" t="s">
        <v>374</v>
      </c>
      <c r="BL1" s="163" t="s">
        <v>375</v>
      </c>
      <c r="BM1" s="163" t="s">
        <v>376</v>
      </c>
      <c r="BN1" s="163" t="s">
        <v>377</v>
      </c>
      <c r="BO1" s="163" t="s">
        <v>364</v>
      </c>
      <c r="BP1" s="163" t="s">
        <v>365</v>
      </c>
      <c r="BQ1" s="163" t="s">
        <v>366</v>
      </c>
      <c r="BR1" s="163" t="s">
        <v>367</v>
      </c>
      <c r="BS1" s="163" t="s">
        <v>368</v>
      </c>
      <c r="BT1" s="163" t="s">
        <v>369</v>
      </c>
      <c r="BU1" s="163" t="s">
        <v>370</v>
      </c>
      <c r="BV1" s="163" t="s">
        <v>379</v>
      </c>
      <c r="BW1" s="163" t="s">
        <v>380</v>
      </c>
      <c r="BX1" s="163" t="s">
        <v>381</v>
      </c>
      <c r="BY1" s="163" t="s">
        <v>382</v>
      </c>
      <c r="BZ1" s="87" t="s">
        <v>192</v>
      </c>
      <c r="CA1" s="87" t="s">
        <v>193</v>
      </c>
      <c r="CB1" s="87" t="s">
        <v>194</v>
      </c>
      <c r="CC1" s="87" t="s">
        <v>195</v>
      </c>
      <c r="CD1" s="87" t="s">
        <v>196</v>
      </c>
      <c r="CE1" s="87" t="s">
        <v>197</v>
      </c>
      <c r="CF1" s="70" t="s">
        <v>184</v>
      </c>
      <c r="CG1" s="70" t="s">
        <v>113</v>
      </c>
      <c r="CH1" s="70" t="s">
        <v>114</v>
      </c>
      <c r="CI1" s="131" t="s">
        <v>307</v>
      </c>
      <c r="CJ1" s="131" t="s">
        <v>308</v>
      </c>
      <c r="CK1" s="131" t="s">
        <v>309</v>
      </c>
      <c r="CL1" s="69" t="s">
        <v>112</v>
      </c>
      <c r="CM1" s="44" t="s">
        <v>86</v>
      </c>
      <c r="CN1" s="44" t="s">
        <v>88</v>
      </c>
      <c r="CO1" s="44" t="s">
        <v>90</v>
      </c>
      <c r="CP1" s="44" t="s">
        <v>92</v>
      </c>
      <c r="CQ1" s="44" t="s">
        <v>94</v>
      </c>
      <c r="CR1" s="44" t="s">
        <v>96</v>
      </c>
      <c r="CS1" s="44" t="s">
        <v>98</v>
      </c>
      <c r="CT1" s="44" t="s">
        <v>100</v>
      </c>
      <c r="CU1" s="44" t="s">
        <v>102</v>
      </c>
      <c r="CV1" s="44" t="s">
        <v>104</v>
      </c>
      <c r="CW1" s="93" t="s">
        <v>239</v>
      </c>
      <c r="CX1" s="93" t="s">
        <v>240</v>
      </c>
      <c r="CY1" s="93" t="s">
        <v>241</v>
      </c>
      <c r="CZ1" s="93" t="s">
        <v>242</v>
      </c>
      <c r="DA1" s="93" t="s">
        <v>243</v>
      </c>
      <c r="DB1" s="93" t="s">
        <v>244</v>
      </c>
      <c r="DC1" s="93" t="s">
        <v>245</v>
      </c>
      <c r="DD1" s="93" t="s">
        <v>246</v>
      </c>
      <c r="DE1" s="93" t="s">
        <v>247</v>
      </c>
      <c r="DF1" s="93" t="s">
        <v>248</v>
      </c>
      <c r="DG1" s="98" t="s">
        <v>252</v>
      </c>
      <c r="DH1" s="98" t="s">
        <v>253</v>
      </c>
      <c r="DI1" s="98" t="s">
        <v>254</v>
      </c>
      <c r="DJ1" s="95" t="s">
        <v>87</v>
      </c>
      <c r="DK1" s="95" t="s">
        <v>89</v>
      </c>
      <c r="DL1" s="95" t="s">
        <v>91</v>
      </c>
      <c r="DM1" s="95" t="s">
        <v>93</v>
      </c>
      <c r="DN1" s="95" t="s">
        <v>95</v>
      </c>
      <c r="DO1" s="95" t="s">
        <v>97</v>
      </c>
      <c r="DP1" s="95" t="s">
        <v>99</v>
      </c>
      <c r="DQ1" s="95" t="s">
        <v>101</v>
      </c>
      <c r="DR1" s="95" t="s">
        <v>103</v>
      </c>
      <c r="DS1" s="95" t="s">
        <v>105</v>
      </c>
      <c r="DT1" s="94" t="s">
        <v>209</v>
      </c>
      <c r="DU1" s="94" t="s">
        <v>210</v>
      </c>
      <c r="DV1" s="94" t="s">
        <v>211</v>
      </c>
      <c r="DW1" s="94" t="s">
        <v>212</v>
      </c>
      <c r="DX1" s="94" t="s">
        <v>213</v>
      </c>
      <c r="DY1" s="94" t="s">
        <v>214</v>
      </c>
      <c r="DZ1" s="94" t="s">
        <v>215</v>
      </c>
      <c r="EA1" s="94" t="s">
        <v>216</v>
      </c>
      <c r="EB1" s="94" t="s">
        <v>217</v>
      </c>
      <c r="EC1" s="94" t="s">
        <v>218</v>
      </c>
      <c r="ED1" s="92" t="s">
        <v>219</v>
      </c>
      <c r="EE1" s="92" t="s">
        <v>220</v>
      </c>
      <c r="EF1" s="92" t="s">
        <v>221</v>
      </c>
      <c r="EG1" s="92" t="s">
        <v>222</v>
      </c>
      <c r="EH1" s="92" t="s">
        <v>223</v>
      </c>
      <c r="EI1" s="92" t="s">
        <v>224</v>
      </c>
      <c r="EJ1" s="92" t="s">
        <v>225</v>
      </c>
      <c r="EK1" s="92" t="s">
        <v>226</v>
      </c>
      <c r="EL1" s="92" t="s">
        <v>227</v>
      </c>
      <c r="EM1" s="92" t="s">
        <v>228</v>
      </c>
      <c r="EN1" s="92" t="s">
        <v>229</v>
      </c>
      <c r="EO1" s="92" t="s">
        <v>230</v>
      </c>
      <c r="EP1" s="92" t="s">
        <v>231</v>
      </c>
      <c r="EQ1" s="92" t="s">
        <v>232</v>
      </c>
      <c r="ER1" s="92" t="s">
        <v>233</v>
      </c>
      <c r="ES1" s="92" t="s">
        <v>234</v>
      </c>
      <c r="ET1" s="92" t="s">
        <v>235</v>
      </c>
      <c r="EU1" s="92" t="s">
        <v>236</v>
      </c>
      <c r="EV1" s="92" t="s">
        <v>237</v>
      </c>
      <c r="EW1" s="92" t="s">
        <v>238</v>
      </c>
      <c r="EX1" s="44" t="s">
        <v>106</v>
      </c>
    </row>
    <row r="2" spans="1:163" ht="15.75" thickTop="1" x14ac:dyDescent="0.25">
      <c r="A2" s="2">
        <v>1</v>
      </c>
      <c r="B2" s="2" t="s">
        <v>6</v>
      </c>
      <c r="C2" s="2" t="str">
        <f>TEXT(D2,"00")&amp;TEXT(E2,"00")&amp;TEXT(F2,"00")</f>
        <v>020101</v>
      </c>
      <c r="D2" s="2">
        <v>2</v>
      </c>
      <c r="E2" s="3">
        <v>1</v>
      </c>
      <c r="F2" s="3">
        <v>1</v>
      </c>
      <c r="G2" s="4" t="s">
        <v>7</v>
      </c>
      <c r="H2" s="4"/>
      <c r="I2" s="42" t="s">
        <v>58</v>
      </c>
      <c r="J2" s="5">
        <v>90.179000000000002</v>
      </c>
      <c r="K2" s="5"/>
      <c r="L2" s="6" t="s">
        <v>306</v>
      </c>
      <c r="M2" s="24" t="s">
        <v>178</v>
      </c>
      <c r="N2" s="7">
        <f>IF(L2="AKUA",1126000+((J2-80)*3800),1135000+((J2-80)*3800))</f>
        <v>1164680.2</v>
      </c>
      <c r="O2" s="8">
        <v>40</v>
      </c>
      <c r="P2" s="25">
        <v>41228</v>
      </c>
      <c r="Q2" s="8" t="str">
        <f>IF(DAY(P2)&lt;15,"1RA","2DA")&amp;"-"&amp;(IF(MONTH(P2)=1,"ENE","")&amp;IF(MONTH(P2)=2,"FEB","")&amp;IF(MONTH(P2)=3,"MAR","")&amp;IF(MONTH(P2)=4,"ABR","")&amp;IF(MONTH(P2)=5,"MAY","")&amp;IF(MONTH(P2)=6,"JUN","")&amp;IF(MONTH(P2)=7,"JUL","")&amp;IF(MONTH(P2)=8,"AGO","")&amp;IF(MONTH(P2)=9,"SEP","")&amp;IF(MONTH(P2)=10,"OCT","")&amp;IF(MONTH(P2)=11,"NOV","")&amp;IF(MONTH(P2)=12,"DIC",""))</f>
        <v>2DA-NOV</v>
      </c>
      <c r="R2" s="26">
        <v>0.1</v>
      </c>
      <c r="S2" s="41" t="s">
        <v>33</v>
      </c>
      <c r="T2" s="8" t="s">
        <v>353</v>
      </c>
      <c r="U2" s="25">
        <v>41061</v>
      </c>
      <c r="V2" s="7">
        <v>582340.1</v>
      </c>
      <c r="W2" s="7">
        <f>+V2*0.3</f>
        <v>174702.03</v>
      </c>
      <c r="X2" s="7">
        <f>IF(S2="LIBERADO",0,V2-W2)</f>
        <v>0</v>
      </c>
      <c r="Y2" s="7">
        <v>174702.03</v>
      </c>
      <c r="Z2" s="7">
        <f>W2-Y2</f>
        <v>0</v>
      </c>
      <c r="AA2" s="148" t="str">
        <f>IF(W2/V2&lt;=5%,"5%","")&amp;IF(W2/V2&gt;5%,IF(W2/V2&lt;=10%,"10%",""),"")&amp;IF(W2/V2&gt;10%,IF(W2/V2&lt;=15%,"15%",""),"")&amp;IF(W2/V2&gt;15%,IF(W2/V2&lt;=20%,"20%",""),"")&amp;IF(W2/V2&gt;20%,IF(W2/V2&lt;=25%,"25%",""),"")&amp;IF(W2/V2&gt;25%,IF(W2/V2&lt;=30%,"30%",""),"")&amp;IF(W2/V2&gt;30%,IF(W2/V2&lt;=35%,"35%",""),"")&amp;IF(W2/V2&gt;35%,IF(W2/V2&lt;=40%,"40%",""),"")&amp;IF(W2/V2&gt;40%,IF(W2/V2&lt;=45%,"45%",""),"")&amp;IF(W2/V2&gt;45%,IF(W2/V2&lt;=50%,"50%",""),"")&amp;IF(W2/V2&gt;50%,IF(W2/V2&lt;=55%,"55%",""),"")&amp;IF(W2/V2&gt;55%,IF(W2/V2&lt;=60%,"60%",""),"")&amp;IF(W2/V2&gt;60%,IF(W2/V2&lt;=65%,"65%",""),"")&amp;IF(W2/V2&gt;65%,IF(W2/V2&lt;=70%,"70%",""),"")&amp;IF(W2/V2&gt;70%,IF(W2/V2&lt;=75%,"75%",""),"")&amp;IF(W2/V2&gt;75%,IF(W2/V2&lt;=80%,"80%",""),"")&amp;IF(W2/V2&gt;80%,IF(W2/V2&lt;=85%,"85%",""),"")&amp;IF(W2/V2&gt;85%,IF(W2/V2&lt;=90%,"90%",""),"")&amp;IF(W2/V2&gt;90%,IF(W2/V2&lt;=95%,"95%",""),"")&amp;IF(W2/V2&gt;95%,IF(W2/V2&lt;=99%,"99%",""),"")&amp;IF(W2/V2&gt;=100%,"100%","")</f>
        <v>30%</v>
      </c>
      <c r="AB2" s="148">
        <f>1-AA2</f>
        <v>0.7</v>
      </c>
      <c r="AC2" s="25">
        <f ca="1">TODAY()-4</f>
        <v>41118</v>
      </c>
      <c r="AD2" s="25">
        <f t="shared" ref="AD2:AE2" ca="1" si="0">TODAY()-4</f>
        <v>41118</v>
      </c>
      <c r="AE2" s="25">
        <f t="shared" ca="1" si="0"/>
        <v>41118</v>
      </c>
      <c r="AF2" s="8"/>
      <c r="AG2" s="59" t="str">
        <f ca="1">IF(AF2="","NA",IF(TODAY()-AF2&lt;=3,"HASTA 3 DIAS","")&amp;IF(TODAY()-AF2&gt;3,IF(TODAY()-AF2&lt;=7,"1RA SEM",""),"")&amp;IF(TODAY()-AF2&gt;7,IF(TODAY()-AF2&lt;=14,"2DA SEM",""),"")&amp;IF(TODAY()-AF2&gt;14,IF(TODAY()-AF2&lt;=21,"3RA SEM",""),"")&amp;IF(TODAY()-AF2&gt;21,IF(TODAY()-AF2&lt;=28,"4TA SEM",""),"")&amp;IF(TODAY()-AF2&gt;28,IF(TODAY()-AF2&lt;=35,"5TA SEM",""),"")&amp;IF(TODAY()-AF2&gt;35,IF(TODAY()-AF2&lt;=42,"6TA SEM",""),"")&amp;IF(TODAY()-AF2&gt;42,IF(TODAY()-AF2&lt;=49,"7MA SEM",""),"")&amp;IF(TODAY()-AF2&gt;49,IF(TODAY()-AF2&lt;=56,"8VA SEM",""),"")&amp;IF(TODAY()-AF2&gt;56,"MAYOR A 2 MESES",""))</f>
        <v>NA</v>
      </c>
      <c r="AH2" s="55"/>
      <c r="AI2" s="55"/>
      <c r="AJ2" s="55"/>
      <c r="AK2" s="55"/>
      <c r="AL2" s="55"/>
      <c r="AM2" s="55"/>
      <c r="AN2" s="8"/>
      <c r="AO2" s="8"/>
      <c r="AP2" s="8"/>
      <c r="AQ2" s="8"/>
      <c r="AR2" s="59" t="str">
        <f>IF(AF2=0,"NA","SEM "&amp;WEEKNUM(AF2))</f>
        <v>NA</v>
      </c>
      <c r="AS2" s="59" t="str">
        <f>IF(AF2=0,"",IF(MONTH(AF2)=1,"ENE","")&amp;IF(MONTH(AF2)=2,"FEB","")&amp;IF(MONTH(AF2)=3,"MAR","")&amp;IF(MONTH(AF2)=4,"ABR","")&amp;IF(MONTH(AF2)=5,"MAY","")&amp;IF(MONTH(AF2)=6,"JUN","")&amp;IF(MONTH(AF2)=7,"JUL","")&amp;IF(MONTH(AF2)=8,"AGO","")&amp;IF(MONTH(AF2)=9,"SEP","")&amp;IF(MONTH(AF2)=10,"OCT","")&amp;IF(MONTH(AF2)=11,"NOV","")&amp;IF(MONTH(AF2)=12,"DIC",""))</f>
        <v/>
      </c>
      <c r="AT2" s="59"/>
      <c r="AU2" s="59" t="str">
        <f t="shared" ref="AU2:AU65" si="1">IF(AT2=0,"ND",(IF(AT2&gt;0,IF(AT2&lt;=12000,"HASTA 12 MIL",""),""))&amp;IF(AT2&gt;12000,IF(AT2&lt;=18000,"ENTRE 12 Y 18 MIL",""),""))&amp;IF(AT2&gt;18000,IF(AT2&lt;=25000,"ENTRE 18 Y 25 MIL",""),"")&amp;IF(AT2&gt;25000,IF(AT2&lt;=35000,"ENTRE 25 Y 35 MIL",""),"")&amp;IF(AT2&gt;35000,IF(AT2&lt;=45000,"ENTRE 35 Y 45 MIL",""),"")&amp;IF(AT2&gt;45000,"MAYOR A 45 MILES","")</f>
        <v>ND</v>
      </c>
      <c r="AV2" s="66" t="s">
        <v>73</v>
      </c>
      <c r="AW2" s="66" t="s">
        <v>38</v>
      </c>
      <c r="AX2" s="66" t="s">
        <v>82</v>
      </c>
      <c r="AY2" s="66" t="s">
        <v>173</v>
      </c>
      <c r="AZ2" s="25">
        <v>41049</v>
      </c>
      <c r="BA2" s="8" t="s">
        <v>390</v>
      </c>
      <c r="BB2" s="25">
        <v>41059</v>
      </c>
      <c r="BC2" s="25">
        <v>41197</v>
      </c>
      <c r="BD2" s="8"/>
      <c r="BE2" s="8"/>
      <c r="BF2" s="8"/>
      <c r="BG2" s="8"/>
      <c r="BH2" s="8"/>
      <c r="BI2" s="8"/>
      <c r="BJ2" s="8"/>
      <c r="BK2" s="59" t="s">
        <v>371</v>
      </c>
      <c r="BL2" s="59" t="s">
        <v>378</v>
      </c>
      <c r="BM2" s="59" t="s">
        <v>378</v>
      </c>
      <c r="BN2" s="164">
        <v>0.01</v>
      </c>
      <c r="BO2" s="165">
        <f>(BN2*SUM(CL2:CV2,EX2))/3</f>
        <v>3882.2673333333332</v>
      </c>
      <c r="BP2" s="165">
        <f>BO2</f>
        <v>3882.2673333333332</v>
      </c>
      <c r="BQ2" s="165">
        <f>BP2</f>
        <v>3882.2673333333332</v>
      </c>
      <c r="BR2" s="162">
        <v>41075</v>
      </c>
      <c r="BS2" s="59"/>
      <c r="BT2" s="59"/>
      <c r="BU2" s="59"/>
      <c r="BV2" s="59" t="str">
        <f>IF(BR2=0,"ND",IF(DAY(BR2)&lt;=13,"1ERA-",IF(DAY(BR2)&gt;13,"2DA-",""))&amp;(IF(MONTH(BR2)=1,"ENE","")&amp;IF(MONTH(BR2)=2,"FEB","")&amp;IF(MONTH(BR2)=3,"MAR","")&amp;IF(MONTH(BR2)=4,"ABR","")&amp;IF(MONTH(BR2)=5,"MAY","")&amp;IF(MONTH(BR2)=6,"JUN","")&amp;IF(MONTH(BR2)=7,"JUL","")&amp;IF(MONTH(BR2)=8,"AGO","")&amp;IF(MONTH(BR2)=9,"SEP","")&amp;IF(MONTH(BR2)=10,"OCT","")&amp;IF(MONTH(BR2)=11,"NOV","")&amp;IF(MONTH(BR2)=12,"DIC",""))&amp;"-"&amp;YEAR(BR2))</f>
        <v>2DA-JUN-2012</v>
      </c>
      <c r="BW2" s="59" t="str">
        <f t="shared" ref="BW2:BY2" si="2">IF(BS2=0,"ND",IF(DAY(BS2)&lt;=13,"1ERA-",IF(DAY(BS2)&gt;13,"2DA-",""))&amp;(IF(MONTH(BS2)=1,"ENE","")&amp;IF(MONTH(BS2)=2,"FEB","")&amp;IF(MONTH(BS2)=3,"MAR","")&amp;IF(MONTH(BS2)=4,"ABR","")&amp;IF(MONTH(BS2)=5,"MAY","")&amp;IF(MONTH(BS2)=6,"JUN","")&amp;IF(MONTH(BS2)=7,"JUL","")&amp;IF(MONTH(BS2)=8,"AGO","")&amp;IF(MONTH(BS2)=9,"SEP","")&amp;IF(MONTH(BS2)=10,"OCT","")&amp;IF(MONTH(BS2)=11,"NOV","")&amp;IF(MONTH(BS2)=12,"DIC",""))&amp;"-"&amp;YEAR(BS2))</f>
        <v>ND</v>
      </c>
      <c r="BX2" s="59" t="str">
        <f t="shared" si="2"/>
        <v>ND</v>
      </c>
      <c r="BY2" s="59" t="str">
        <f t="shared" si="2"/>
        <v>ND</v>
      </c>
      <c r="BZ2" s="59" t="str">
        <f t="shared" ref="BZ2:BZ65" si="3">IF(AZ2=0,"NA","SEM "&amp;WEEKNUM(AZ2))</f>
        <v>SEM 21</v>
      </c>
      <c r="CA2" s="59" t="str">
        <f t="shared" ref="CA2:CA65" si="4">IF(AZ2=0,"",IF(MONTH(AZ2)=1,"ENE","")&amp;IF(MONTH(AZ2)=2,"FEB","")&amp;IF(MONTH(AZ2)=3,"MAR","")&amp;IF(MONTH(AZ2)=4,"ABR","")&amp;IF(MONTH(AZ2)=5,"MAY","")&amp;IF(MONTH(AZ2)=6,"JUN","")&amp;IF(MONTH(AZ2)=7,"JUL","")&amp;IF(MONTH(AZ2)=8,"AGO","")&amp;IF(MONTH(AZ2)=9,"SEP","")&amp;IF(MONTH(AZ2)=10,"OCT","")&amp;IF(MONTH(AZ2)=11,"NOV","")&amp;IF(MONTH(AZ2)=12,"DIC",""))</f>
        <v>MAY</v>
      </c>
      <c r="CB2" s="59" t="str">
        <f t="shared" ref="CB2:CB65" si="5">IF(BF2=0,"NA","SEM "&amp;WEEKNUM(BF2))</f>
        <v>NA</v>
      </c>
      <c r="CC2" s="59" t="str">
        <f t="shared" ref="CC2:CC65" si="6">IF(BF2=0,"",IF(MONTH(BF2)=1,"ENE","")&amp;IF(MONTH(BF2)=2,"FEB","")&amp;IF(MONTH(BF2)=3,"MAR","")&amp;IF(MONTH(BF2)=4,"ABR","")&amp;IF(MONTH(BF2)=5,"MAY","")&amp;IF(MONTH(BF2)=6,"JUN","")&amp;IF(MONTH(BF2)=7,"JUL","")&amp;IF(MONTH(BF2)=8,"AGO","")&amp;IF(MONTH(BF2)=9,"SEP","")&amp;IF(MONTH(BF2)=10,"OCT","")&amp;IF(MONTH(BF2)=11,"NOV","")&amp;IF(MONTH(BF2)=12,"DIC",""))</f>
        <v/>
      </c>
      <c r="CD2" s="59" t="str">
        <f t="shared" ref="CD2:CD65" si="7">IF(BJ2=0,"NA","SEM "&amp;WEEKNUM(BJ2))</f>
        <v>NA</v>
      </c>
      <c r="CE2" s="59" t="str">
        <f t="shared" ref="CE2:CE65" si="8">IF(BJ2=0,"",IF(MONTH(BJ2)=1,"ENE","")&amp;IF(MONTH(BJ2)=2,"FEB","")&amp;IF(MONTH(BJ2)=3,"MAR","")&amp;IF(MONTH(BJ2)=4,"ABR","")&amp;IF(MONTH(BJ2)=5,"MAY","")&amp;IF(MONTH(BJ2)=6,"JUN","")&amp;IF(MONTH(BJ2)=7,"JUL","")&amp;IF(MONTH(BJ2)=8,"AGO","")&amp;IF(MONTH(BJ2)=9,"SEP","")&amp;IF(MONTH(BJ2)=10,"OCT","")&amp;IF(MONTH(BJ2)=11,"NOV","")&amp;IF(MONTH(BJ2)=12,"DIC",""))</f>
        <v/>
      </c>
      <c r="CF2" s="59" t="str">
        <f t="shared" ref="CF2:CF65" si="9">IF(OR(BA2="FIRMADO",BA2="COBRADO"),IF(BF2=0,"",IF(DAY(BF2)&lt;16,"1RA","2DA")&amp;"-"&amp;(IF(MONTH(BF2)=1,"ENE","")&amp;IF(MONTH(BF2)=2,"FEB","")&amp;IF(MONTH(BF2)=3,"MAR","")&amp;IF(MONTH(BF2)=4,"ABR","")&amp;IF(MONTH(BF2)=5,"MAY","")&amp;IF(MONTH(BF2)=6,"JUN","")&amp;IF(MONTH(BF2)=7,"JUL","")&amp;IF(MONTH(BF2)=8,"AGO","")&amp;IF(MONTH(BF2)=9,"SEP","")&amp;IF(MONTH(BF2)=10,"OCT","")&amp;IF(MONTH(BF2)=11,"NOV","")&amp;IF(MONTH(BF2)=12,"DIC",""))),IF(BA2="SIN CLIENTE","NA",IF(BC2=0,"",IF(DAY(BC2)&lt;16,"1RA","2DA")&amp;"-"&amp;(IF(MONTH(BC2)=1,"ENE","")&amp;IF(MONTH(BC2)=2,"FEB","")&amp;IF(MONTH(BC2)=3,"MAR","")&amp;IF(MONTH(BC2)=4,"ABR","")&amp;IF(MONTH(BC2)=5,"MAY","")&amp;IF(MONTH(BC2)=6,"JUN","")&amp;IF(MONTH(BC2)=7,"JUL","")&amp;IF(MONTH(BC2)=8,"AGO","")&amp;IF(MONTH(BC2)=9,"SEP","")&amp;IF(MONTH(BC2)=10,"OCT","")&amp;IF(MONTH(BC2)=11,"NOV","")&amp;IF(MONTH(BC2)=12,"DIC","")))))</f>
        <v>1RA-OCT</v>
      </c>
      <c r="CG2" s="59" t="str">
        <f t="shared" ref="CG2:CG65" ca="1" si="10">IF(AZ2=0,"NA",IF(TODAY()-AZ2&lt;=3,"HASTA 3 DIAS","")&amp;IF(TODAY()-AZ2&gt;3,IF(TODAY()-AZ2&lt;=7,"1RA SEM",""),"")&amp;IF(TODAY()-AZ2&gt;7,IF(TODAY()-AZ2&lt;=14,"2DA SEM",""),"")&amp;IF(TODAY()-AZ2&gt;14,IF(TODAY()-AZ2&lt;=21,"3RA SEM",""),"")&amp;IF(TODAY()-AZ2&gt;21,IF(TODAY()-AZ2&lt;=28,"4TA SEM",""),"")&amp;IF(TODAY()-AZ2&gt;28,IF(TODAY()-AZ2&lt;=35,"5TA SEM",""),"")&amp;IF(TODAY()-AZ2&gt;35,IF(TODAY()-AZ2&lt;=42,"6TA SEM",""),"")&amp;IF(TODAY()-AZ2&gt;42,IF(TODAY()-AZ2&lt;=49,"7MA SEM",""),"")&amp;IF(TODAY()-AZ2&gt;49,IF(TODAY()-AZ2&lt;=56,"8VA SEM",""),"")&amp;IF(TODAY()-AZ2&gt;56,"MAYOR A 2 MESES",""))</f>
        <v>MAYOR A 2 MESES</v>
      </c>
      <c r="CH2" s="59" t="str">
        <f t="shared" ref="CH2:CH65" ca="1" si="11">IF(BF2=0,"NA",IF(TODAY()-BF2&lt;=3,"HASTA 3 DIAS","")&amp;IF(TODAY()-BF2&gt;3,IF(TODAY()-BF2&lt;=7,"1RA SEM",""),"")&amp;IF(TODAY()-BF2&gt;7,IF(TODAY()-BF2&lt;=14,"2DA SEM",""),"")&amp;IF(TODAY()-BF2&gt;14,IF(TODAY()-BF2&lt;=21,"3RA SEM",""),"")&amp;IF(TODAY()-BF2&gt;21,IF(TODAY()-BF2&lt;=28,"4TA SEM",""),"")&amp;IF(TODAY()-BF2&gt;28,IF(TODAY()-BF2&lt;=35,"5TA SEM",""),"")&amp;IF(TODAY()-BF2&gt;35,IF(TODAY()-BF2&lt;=42,"6TA SEM",""),"")&amp;IF(TODAY()-BF2&gt;42,IF(TODAY()-BF2&lt;=49,"7MA SEM",""),"")&amp;IF(TODAY()-BF2&gt;49,IF(TODAY()-BF2&lt;=56,"8VA SEM",""),"")&amp;IF(TODAY()-BF2&gt;56,"MAYOR A 2 MESES",""))</f>
        <v>NA</v>
      </c>
      <c r="CI2" s="59" t="str">
        <f t="shared" ref="CI2:CI65" ca="1" si="12">IF(AC2=0,"ND",IF(TODAY()-AC2&lt;=5,"HASTA 5 DIAS","")&amp;IF(TODAY()-AC2&gt;5,IF(TODAY()-AC2&lt;=10,"DE 6 A 10 DIAS",""),"")&amp;IF(TODAY()-AC2&gt;10,IF(TODAY()-AC2&lt;=15,"DE 11 A 15 DIAS",""),"")&amp;IF(TODAY()-AC2&gt;15,IF(TODAY()-AC2&lt;=20,"DE 16 A 20 DIAS",""),"")&amp;IF(TODAY()-AC2&gt;20,IF(TODAY()-AC2&lt;=25,"DE 21 A 25 DIAS",""),"")&amp;IF(TODAY()-AC2&gt;25,IF(TODAY()-AC2&lt;=29,"DE 26 A 29 DIAS",""),"")&amp;IF(TODAY()-AC2=30,"30 DIAS","")&amp;IF(TODAY()-AC2&gt;30,IF(TODAY()-AC2&lt;=35,"DE 31 A 35 DIAS",""),"")&amp;IF(TODAY()-AC2&gt;35,IF(TODAY()-AC2&lt;=45,"DE 36 A 45 DIAS",""),"")&amp;IF(TODAY()-AC2&gt;45,"MAYOR A 45 DIAS",""))</f>
        <v>HASTA 5 DIAS</v>
      </c>
      <c r="CJ2" s="59" t="str">
        <f t="shared" ref="CJ2:CJ65" ca="1" si="13">IF(AD2=0,"ND",IF(TODAY()-AD2&lt;=5,"HASTA 5 DIAS","")&amp;IF(TODAY()-AD2&gt;5,IF(TODAY()-AD2&lt;=10,"DE 6 A 10 DIAS",""),"")&amp;IF(TODAY()-AD2&gt;10,IF(TODAY()-AD2&lt;=15,"DE 11 A 15 DIAS",""),"")&amp;IF(TODAY()-AD2&gt;15,IF(TODAY()-AD2&lt;=20,"DE 16 A 20 DIAS",""),"")&amp;IF(TODAY()-AD2&gt;20,IF(TODAY()-AD2&lt;=25,"DE 21 A 25 DIAS",""),"")&amp;IF(TODAY()-AD2&gt;25,IF(TODAY()-AD2&lt;=29,"DE 26 A 29 DIAS",""),"")&amp;IF(TODAY()-AD2=30,"30 DIAS","")&amp;IF(TODAY()-AD2&gt;30,IF(TODAY()-AD2&lt;=35,"DE 31 A 35 DIAS",""),"")&amp;IF(TODAY()-AD2&gt;35,IF(TODAY()-AD2&lt;=45,"DE 36 A 45 DIAS",""),"")&amp;IF(TODAY()-AD2&gt;45,"MAYOR A 45 DIAS",""))</f>
        <v>HASTA 5 DIAS</v>
      </c>
      <c r="CK2" s="59" t="str">
        <f t="shared" ref="CK2:CK65" ca="1" si="14">IF(AE2=0,"ND",IF(TODAY()-AE2&lt;=5,"HASTA 5 DIAS","")&amp;IF(TODAY()-AE2&gt;5,IF(TODAY()-AE2&lt;=10,"DE 6 A 10 DIAS",""),"")&amp;IF(TODAY()-AE2&gt;10,IF(TODAY()-AE2&lt;=15,"DE 11 A 15 DIAS",""),"")&amp;IF(TODAY()-AE2&gt;15,IF(TODAY()-AE2&lt;=20,"DE 16 A 20 DIAS",""),"")&amp;IF(TODAY()-AE2&gt;20,IF(TODAY()-AE2&lt;=25,"DE 21 A 25 DIAS",""),"")&amp;IF(TODAY()-AE2&gt;25,IF(TODAY()-AE2&lt;=29,"DE 26 A 29 DIAS",""),"")&amp;IF(TODAY()-AE2=30,"30 DIAS","")&amp;IF(TODAY()-AE2&gt;30,IF(TODAY()-AE2&lt;=35,"DE 31 A 35 DIAS",""),"")&amp;IF(TODAY()-AE2&gt;35,IF(TODAY()-AE2&lt;=45,"DE 36 A 45 DIAS",""),"")&amp;IF(TODAY()-AE2&gt;45,"MAYOR A 45 DIAS",""))</f>
        <v>HASTA 5 DIAS</v>
      </c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>
        <f>IF(CW2="VIGENTE",CM2,0)+IF(CX2="VIGENTE",CN2,0)+IF(CY2="VIGENTE",CO2,0)+IF(CZ2="VIGENTE",CP2,0)+IF(DA2="VIGENTE",CQ2,0)+IF(DB2="VIGENTE",CR2,0)+IF(DC2="VIGENTE",CS2,0)+IF(DD2="VIGENTE",CT2,0)+IF(DE2="VIGENTE",CU2,0)+IF(DF2="VIGENTE",CV2,0)</f>
        <v>0</v>
      </c>
      <c r="DH2" s="8">
        <f>IF(CW2="PAGADO",CM2,0)+IF(CX2="PAGADO",CN2,0)+IF(CY2="PAGADO",CO2,0)+IF(CZ2="PAGADO",CP2,0)+IF(DA2="PAGADO",CQ2,0)+IF(DB2="PAGADO",CR2,0)+IF(DC2="PAGADO",CS2,0)+IF(DD2="PAGADO",CT2,0)+IF(DE2="PAGADO",CU2,0)+IF(DF2="PAGADO",CV2,0)</f>
        <v>0</v>
      </c>
      <c r="DI2" s="8">
        <f>IF(CW2="VENCIDO",CM2,0)+IF(CX2="VENCIDO",CN2,0)+IF(CY2="VENCIDO",CO2,0)+IF(CZ2="VENCIDO",CP2,0)+IF(DA2="VENCIDO",CQ2,0)+IF(DB2="VENCIDO",CR2,0)+IF(DC2="VENCIDO",CS2,0)+IF(DD2="VENCIDO",CT2,0)+IF(DE2="VENCIDO",CU2,0)+IF(DF2="VENCIDO",CV2,0)</f>
        <v>0</v>
      </c>
      <c r="DJ2" s="8"/>
      <c r="DK2" s="8"/>
      <c r="DL2" s="8"/>
      <c r="DM2" s="8"/>
      <c r="DN2" s="8"/>
      <c r="DO2" s="8"/>
      <c r="DP2" s="8"/>
      <c r="DQ2" s="8"/>
      <c r="DR2" s="8"/>
      <c r="DS2" s="8"/>
      <c r="DT2" s="59" t="str">
        <f>IF(DJ2=0,"NA","SEM "&amp;WEEKNUM(DJ2))</f>
        <v>NA</v>
      </c>
      <c r="DU2" s="59" t="str">
        <f t="shared" ref="DU2:EC2" si="15">IF(DK2=0,"NA","SEM "&amp;WEEKNUM(DK2))</f>
        <v>NA</v>
      </c>
      <c r="DV2" s="59" t="str">
        <f t="shared" si="15"/>
        <v>NA</v>
      </c>
      <c r="DW2" s="59" t="str">
        <f t="shared" si="15"/>
        <v>NA</v>
      </c>
      <c r="DX2" s="59" t="str">
        <f t="shared" si="15"/>
        <v>NA</v>
      </c>
      <c r="DY2" s="59" t="str">
        <f t="shared" si="15"/>
        <v>NA</v>
      </c>
      <c r="DZ2" s="59" t="str">
        <f t="shared" si="15"/>
        <v>NA</v>
      </c>
      <c r="EA2" s="59" t="str">
        <f t="shared" si="15"/>
        <v>NA</v>
      </c>
      <c r="EB2" s="59" t="str">
        <f t="shared" si="15"/>
        <v>NA</v>
      </c>
      <c r="EC2" s="59" t="str">
        <f t="shared" si="15"/>
        <v>NA</v>
      </c>
      <c r="ED2" s="59" t="str">
        <f>IF(DJ2=0,"",IF(MONTH(DJ2)=1,"ENE","")&amp;IF(MONTH(DJ2)=2,"FEB","")&amp;IF(MONTH(DJ2)=3,"MAR","")&amp;IF(MONTH(DJ2)=4,"ABR","")&amp;IF(MONTH(DJ2)=5,"MAY","")&amp;IF(MONTH(DJ2)=6,"JUN","")&amp;IF(MONTH(DJ2)=7,"JUL","")&amp;IF(MONTH(DJ2)=8,"AGO","")&amp;IF(MONTH(DJ2)=9,"SEP","")&amp;IF(MONTH(DJ2)=10,"OCT","")&amp;IF(MONTH(DJ2)=11,"NOV","")&amp;IF(MONTH(DJ2)=12,"DIC",""))</f>
        <v/>
      </c>
      <c r="EE2" s="59" t="str">
        <f t="shared" ref="EE2:EM2" si="16">IF(DK2=0,"",IF(MONTH(DK2)=1,"ENE","")&amp;IF(MONTH(DK2)=2,"FEB","")&amp;IF(MONTH(DK2)=3,"MAR","")&amp;IF(MONTH(DK2)=4,"ABR","")&amp;IF(MONTH(DK2)=5,"MAY","")&amp;IF(MONTH(DK2)=6,"JUN","")&amp;IF(MONTH(DK2)=7,"JUL","")&amp;IF(MONTH(DK2)=8,"AGO","")&amp;IF(MONTH(DK2)=9,"SEP","")&amp;IF(MONTH(DK2)=10,"OCT","")&amp;IF(MONTH(DK2)=11,"NOV","")&amp;IF(MONTH(DK2)=12,"DIC",""))</f>
        <v/>
      </c>
      <c r="EF2" s="59" t="str">
        <f t="shared" si="16"/>
        <v/>
      </c>
      <c r="EG2" s="59" t="str">
        <f t="shared" si="16"/>
        <v/>
      </c>
      <c r="EH2" s="59" t="str">
        <f t="shared" si="16"/>
        <v/>
      </c>
      <c r="EI2" s="59" t="str">
        <f t="shared" si="16"/>
        <v/>
      </c>
      <c r="EJ2" s="59" t="str">
        <f t="shared" si="16"/>
        <v/>
      </c>
      <c r="EK2" s="59" t="str">
        <f t="shared" si="16"/>
        <v/>
      </c>
      <c r="EL2" s="59" t="str">
        <f t="shared" si="16"/>
        <v/>
      </c>
      <c r="EM2" s="59" t="str">
        <f t="shared" si="16"/>
        <v/>
      </c>
      <c r="EN2" s="59" t="str">
        <f>IF(DJ2=0,"",YEAR(DJ2))</f>
        <v/>
      </c>
      <c r="EO2" s="59" t="str">
        <f t="shared" ref="EO2" si="17">IF(DK2=0,"",YEAR(DK2))</f>
        <v/>
      </c>
      <c r="EP2" s="59" t="str">
        <f t="shared" ref="EP2" si="18">IF(DL2=0,"",YEAR(DL2))</f>
        <v/>
      </c>
      <c r="EQ2" s="59" t="str">
        <f t="shared" ref="EQ2" si="19">IF(DM2=0,"",YEAR(DM2))</f>
        <v/>
      </c>
      <c r="ER2" s="59" t="str">
        <f t="shared" ref="ER2" si="20">IF(DN2=0,"",YEAR(DN2))</f>
        <v/>
      </c>
      <c r="ES2" s="59" t="str">
        <f t="shared" ref="ES2" si="21">IF(DO2=0,"",YEAR(DO2))</f>
        <v/>
      </c>
      <c r="ET2" s="59" t="str">
        <f t="shared" ref="ET2" si="22">IF(DP2=0,"",YEAR(DP2))</f>
        <v/>
      </c>
      <c r="EU2" s="59" t="str">
        <f t="shared" ref="EU2" si="23">IF(DQ2=0,"",YEAR(DQ2))</f>
        <v/>
      </c>
      <c r="EV2" s="59" t="str">
        <f t="shared" ref="EV2" si="24">IF(DR2=0,"",YEAR(DR2))</f>
        <v/>
      </c>
      <c r="EW2" s="59" t="str">
        <f t="shared" ref="EW2" si="25">IF(DS2=0,"",YEAR(DS2))</f>
        <v/>
      </c>
      <c r="EX2" s="56">
        <f t="shared" ref="EX2:EX65" si="26">-(CL2+CM2+CN2+CO2+CP2+CQ2+CR2+CS2+CT2+CU2+CV2-N2)</f>
        <v>1164680.2</v>
      </c>
      <c r="EZ2" s="42" t="s">
        <v>58</v>
      </c>
      <c r="FA2" s="42" t="s">
        <v>33</v>
      </c>
      <c r="FB2" s="41" t="s">
        <v>71</v>
      </c>
      <c r="FC2" s="41" t="s">
        <v>38</v>
      </c>
      <c r="FD2" s="41" t="s">
        <v>79</v>
      </c>
      <c r="FE2" s="41" t="s">
        <v>37</v>
      </c>
      <c r="FF2" s="41" t="s">
        <v>249</v>
      </c>
      <c r="FG2" s="41" t="s">
        <v>371</v>
      </c>
    </row>
    <row r="3" spans="1:163" x14ac:dyDescent="0.25">
      <c r="A3" s="2">
        <f>A2+1</f>
        <v>2</v>
      </c>
      <c r="B3" s="2" t="s">
        <v>6</v>
      </c>
      <c r="C3" s="2" t="str">
        <f t="shared" ref="C3:C66" si="27">TEXT(D3,"00")&amp;TEXT(E3,"00")&amp;TEXT(F3,"00")</f>
        <v>020102</v>
      </c>
      <c r="D3" s="2">
        <v>2</v>
      </c>
      <c r="E3" s="3">
        <v>1</v>
      </c>
      <c r="F3" s="2">
        <v>2</v>
      </c>
      <c r="G3" s="4" t="s">
        <v>7</v>
      </c>
      <c r="H3" s="4"/>
      <c r="I3" s="42" t="s">
        <v>59</v>
      </c>
      <c r="J3" s="9">
        <v>88.006</v>
      </c>
      <c r="K3" s="5"/>
      <c r="L3" s="6" t="s">
        <v>306</v>
      </c>
      <c r="M3" s="24" t="s">
        <v>178</v>
      </c>
      <c r="N3" s="7">
        <f>IF(L3="AKUA",1126000+((J3-80)*3800),1135000+((J3-80)*3800))</f>
        <v>1156422.8</v>
      </c>
      <c r="O3" s="8">
        <v>41</v>
      </c>
      <c r="P3" s="25">
        <v>41228</v>
      </c>
      <c r="Q3" s="8" t="str">
        <f t="shared" ref="Q3:Q66" si="28">IF(DAY(P3)&lt;15,"1RA","2DA")&amp;"-"&amp;(IF(MONTH(P3)=1,"ENE","")&amp;IF(MONTH(P3)=2,"FEB","")&amp;IF(MONTH(P3)=3,"MAR","")&amp;IF(MONTH(P3)=4,"ABR","")&amp;IF(MONTH(P3)=5,"MAY","")&amp;IF(MONTH(P3)=6,"JUN","")&amp;IF(MONTH(P3)=7,"JUL","")&amp;IF(MONTH(P3)=8,"AGO","")&amp;IF(MONTH(P3)=9,"SEP","")&amp;IF(MONTH(P3)=10,"OCT","")&amp;IF(MONTH(P3)=11,"NOV","")&amp;IF(MONTH(P3)=12,"DIC",""))</f>
        <v>2DA-NOV</v>
      </c>
      <c r="R3" s="26">
        <v>0.1</v>
      </c>
      <c r="S3" s="41" t="s">
        <v>34</v>
      </c>
      <c r="T3" s="8" t="s">
        <v>353</v>
      </c>
      <c r="U3" s="8"/>
      <c r="V3" s="7">
        <v>578211.4</v>
      </c>
      <c r="W3" s="7">
        <f>+V3*0.85</f>
        <v>491479.69</v>
      </c>
      <c r="X3" s="7">
        <f t="shared" ref="X3:X66" si="29">IF(S3="LIBERADO",0,V3-W3)</f>
        <v>86731.710000000021</v>
      </c>
      <c r="Y3" s="7">
        <v>0</v>
      </c>
      <c r="Z3" s="7">
        <f t="shared" ref="Z3:Z66" si="30">W3-Y3</f>
        <v>491479.69</v>
      </c>
      <c r="AA3" s="148" t="str">
        <f t="shared" ref="AA3:AA66" si="31">IF(W3/V3&lt;=5%,"5%","")&amp;IF(W3/V3&gt;5%,IF(W3/V3&lt;=10%,"10%",""),"")&amp;IF(W3/V3&gt;10%,IF(W3/V3&lt;=15%,"15%",""),"")&amp;IF(W3/V3&gt;15%,IF(W3/V3&lt;=20%,"20%",""),"")&amp;IF(W3/V3&gt;20%,IF(W3/V3&lt;=25%,"25%",""),"")&amp;IF(W3/V3&gt;25%,IF(W3/V3&lt;=30%,"30%",""),"")&amp;IF(W3/V3&gt;30%,IF(W3/V3&lt;=35%,"35%",""),"")&amp;IF(W3/V3&gt;35%,IF(W3/V3&lt;=40%,"40%",""),"")&amp;IF(W3/V3&gt;40%,IF(W3/V3&lt;=45%,"45%",""),"")&amp;IF(W3/V3&gt;45%,IF(W3/V3&lt;=50%,"50%",""),"")&amp;IF(W3/V3&gt;50%,IF(W3/V3&lt;=55%,"55%",""),"")&amp;IF(W3/V3&gt;55%,IF(W3/V3&lt;=60%,"60%",""),"")&amp;IF(W3/V3&gt;60%,IF(W3/V3&lt;=65%,"65%",""),"")&amp;IF(W3/V3&gt;65%,IF(W3/V3&lt;=70%,"70%",""),"")&amp;IF(W3/V3&gt;70%,IF(W3/V3&lt;=75%,"75%",""),"")&amp;IF(W3/V3&gt;75%,IF(W3/V3&lt;=80%,"80%",""),"")&amp;IF(W3/V3&gt;80%,IF(W3/V3&lt;=85%,"85%",""),"")&amp;IF(W3/V3&gt;85%,IF(W3/V3&lt;=90%,"90%",""),"")&amp;IF(W3/V3&gt;90%,IF(W3/V3&lt;=95%,"95%",""),"")&amp;IF(W3/V3&gt;95%,IF(W3/V3&lt;=99%,"99%",""),"")&amp;IF(W3/V3&gt;=100%,"100%","")</f>
        <v>85%</v>
      </c>
      <c r="AB3" s="148">
        <f t="shared" ref="AB3:AB66" si="32">1-AA3</f>
        <v>0.15000000000000002</v>
      </c>
      <c r="AC3" s="25">
        <f ca="1">TODAY()-9</f>
        <v>41113</v>
      </c>
      <c r="AD3" s="25">
        <f t="shared" ref="AD3:AE3" ca="1" si="33">TODAY()-9</f>
        <v>41113</v>
      </c>
      <c r="AE3" s="25">
        <f t="shared" ca="1" si="33"/>
        <v>41113</v>
      </c>
      <c r="AF3" s="8"/>
      <c r="AG3" s="59" t="str">
        <f t="shared" ref="AG3:AG66" ca="1" si="34">IF(AF3="","NA",IF(TODAY()-AF3&lt;=3,"HASTA 3 DIAS","")&amp;IF(TODAY()-AF3&gt;3,IF(TODAY()-AF3&lt;=7,"1RA SEM",""),"")&amp;IF(TODAY()-AF3&gt;7,IF(TODAY()-AF3&lt;=14,"2DA SEM",""),"")&amp;IF(TODAY()-AF3&gt;14,IF(TODAY()-AF3&lt;=21,"3RA SEM",""),"")&amp;IF(TODAY()-AF3&gt;21,IF(TODAY()-AF3&lt;=28,"4TA SEM",""),"")&amp;IF(TODAY()-AF3&gt;28,IF(TODAY()-AF3&lt;=35,"5TA SEM",""),"")&amp;IF(TODAY()-AF3&gt;35,IF(TODAY()-AF3&lt;=42,"6TA SEM",""),"")&amp;IF(TODAY()-AF3&gt;42,IF(TODAY()-AF3&lt;=49,"7MA SEM",""),"")&amp;IF(TODAY()-AF3&gt;49,IF(TODAY()-AF3&lt;=56,"8VA SEM",""),"")&amp;IF(TODAY()-AF3&gt;56,"MAYOR A 2 MESES",""))</f>
        <v>NA</v>
      </c>
      <c r="AH3" s="55"/>
      <c r="AI3" s="55"/>
      <c r="AJ3" s="55"/>
      <c r="AK3" s="55"/>
      <c r="AL3" s="55"/>
      <c r="AM3" s="55"/>
      <c r="AN3" s="8"/>
      <c r="AO3" s="8"/>
      <c r="AP3" s="8"/>
      <c r="AQ3" s="8"/>
      <c r="AR3" s="59" t="str">
        <f t="shared" ref="AR3:AR6" si="35">IF(AF3=0,"NA","SEM "&amp;WEEKNUM(AF3))</f>
        <v>NA</v>
      </c>
      <c r="AS3" s="59" t="str">
        <f t="shared" ref="AS3:AS6" si="36">IF(AF3=0,"",IF(MONTH(AF3)=1,"ENE","")&amp;IF(MONTH(AF3)=2,"FEB","")&amp;IF(MONTH(AF3)=3,"MAR","")&amp;IF(MONTH(AF3)=4,"ABR","")&amp;IF(MONTH(AF3)=5,"MAY","")&amp;IF(MONTH(AF3)=6,"JUN","")&amp;IF(MONTH(AF3)=7,"JUL","")&amp;IF(MONTH(AF3)=8,"AGO","")&amp;IF(MONTH(AF3)=9,"SEP","")&amp;IF(MONTH(AF3)=10,"OCT","")&amp;IF(MONTH(AF3)=11,"NOV","")&amp;IF(MONTH(AF3)=12,"DIC",""))</f>
        <v/>
      </c>
      <c r="AT3" s="59"/>
      <c r="AU3" s="59" t="str">
        <f t="shared" si="1"/>
        <v>ND</v>
      </c>
      <c r="AV3" s="66" t="s">
        <v>73</v>
      </c>
      <c r="AW3" s="66" t="s">
        <v>38</v>
      </c>
      <c r="AX3" s="66" t="s">
        <v>82</v>
      </c>
      <c r="AY3" s="66" t="s">
        <v>171</v>
      </c>
      <c r="AZ3" s="25">
        <v>41104</v>
      </c>
      <c r="BA3" s="8" t="s">
        <v>390</v>
      </c>
      <c r="BB3" s="25">
        <v>41107</v>
      </c>
      <c r="BC3" s="25">
        <v>41197</v>
      </c>
      <c r="BD3" s="8"/>
      <c r="BE3" s="8"/>
      <c r="BF3" s="8"/>
      <c r="BG3" s="8"/>
      <c r="BH3" s="8"/>
      <c r="BI3" s="8"/>
      <c r="BJ3" s="8"/>
      <c r="BK3" s="59" t="s">
        <v>378</v>
      </c>
      <c r="BL3" s="59" t="s">
        <v>378</v>
      </c>
      <c r="BM3" s="59" t="s">
        <v>378</v>
      </c>
      <c r="BN3" s="164">
        <v>0.01</v>
      </c>
      <c r="BO3" s="165">
        <f t="shared" ref="BO3:BO66" si="37">(BN3*SUM(CL3:CV3,EX3))/3</f>
        <v>3854.742666666667</v>
      </c>
      <c r="BP3" s="165">
        <f t="shared" ref="BP3:BQ3" si="38">BO3</f>
        <v>3854.742666666667</v>
      </c>
      <c r="BQ3" s="165">
        <f t="shared" si="38"/>
        <v>3854.742666666667</v>
      </c>
      <c r="BR3" s="162">
        <v>41104</v>
      </c>
      <c r="BS3" s="59"/>
      <c r="BT3" s="59"/>
      <c r="BU3" s="59"/>
      <c r="BV3" s="59" t="str">
        <f t="shared" ref="BV3:BV4" si="39">IF(BR3=0,"ND",IF(DAY(BR3)&lt;=13,"1ERA-",IF(DAY(BR3)&gt;13,"2DA-",""))&amp;(IF(MONTH(BR3)=1,"ENE","")&amp;IF(MONTH(BR3)=2,"FEB","")&amp;IF(MONTH(BR3)=3,"MAR","")&amp;IF(MONTH(BR3)=4,"ABR","")&amp;IF(MONTH(BR3)=5,"MAY","")&amp;IF(MONTH(BR3)=6,"JUN","")&amp;IF(MONTH(BR3)=7,"JUL","")&amp;IF(MONTH(BR3)=8,"AGO","")&amp;IF(MONTH(BR3)=9,"SEP","")&amp;IF(MONTH(BR3)=10,"OCT","")&amp;IF(MONTH(BR3)=11,"NOV","")&amp;IF(MONTH(BR3)=12,"DIC",""))&amp;"-"&amp;YEAR(BR3))</f>
        <v>2DA-JUL-2012</v>
      </c>
      <c r="BW3" s="59" t="str">
        <f t="shared" ref="BW3:BW4" si="40">IF(BS3=0,"ND",IF(DAY(BS3)&lt;=13,"1ERA-",IF(DAY(BS3)&gt;13,"2DA-",""))&amp;(IF(MONTH(BS3)=1,"ENE","")&amp;IF(MONTH(BS3)=2,"FEB","")&amp;IF(MONTH(BS3)=3,"MAR","")&amp;IF(MONTH(BS3)=4,"ABR","")&amp;IF(MONTH(BS3)=5,"MAY","")&amp;IF(MONTH(BS3)=6,"JUN","")&amp;IF(MONTH(BS3)=7,"JUL","")&amp;IF(MONTH(BS3)=8,"AGO","")&amp;IF(MONTH(BS3)=9,"SEP","")&amp;IF(MONTH(BS3)=10,"OCT","")&amp;IF(MONTH(BS3)=11,"NOV","")&amp;IF(MONTH(BS3)=12,"DIC",""))&amp;"-"&amp;YEAR(BS3))</f>
        <v>ND</v>
      </c>
      <c r="BX3" s="59" t="str">
        <f t="shared" ref="BX3:BX4" si="41">IF(BT3=0,"ND",IF(DAY(BT3)&lt;=13,"1ERA-",IF(DAY(BT3)&gt;13,"2DA-",""))&amp;(IF(MONTH(BT3)=1,"ENE","")&amp;IF(MONTH(BT3)=2,"FEB","")&amp;IF(MONTH(BT3)=3,"MAR","")&amp;IF(MONTH(BT3)=4,"ABR","")&amp;IF(MONTH(BT3)=5,"MAY","")&amp;IF(MONTH(BT3)=6,"JUN","")&amp;IF(MONTH(BT3)=7,"JUL","")&amp;IF(MONTH(BT3)=8,"AGO","")&amp;IF(MONTH(BT3)=9,"SEP","")&amp;IF(MONTH(BT3)=10,"OCT","")&amp;IF(MONTH(BT3)=11,"NOV","")&amp;IF(MONTH(BT3)=12,"DIC",""))&amp;"-"&amp;YEAR(BT3))</f>
        <v>ND</v>
      </c>
      <c r="BY3" s="59" t="str">
        <f t="shared" ref="BY3:BY4" si="42">IF(BU3=0,"ND",IF(DAY(BU3)&lt;=13,"1ERA-",IF(DAY(BU3)&gt;13,"2DA-",""))&amp;(IF(MONTH(BU3)=1,"ENE","")&amp;IF(MONTH(BU3)=2,"FEB","")&amp;IF(MONTH(BU3)=3,"MAR","")&amp;IF(MONTH(BU3)=4,"ABR","")&amp;IF(MONTH(BU3)=5,"MAY","")&amp;IF(MONTH(BU3)=6,"JUN","")&amp;IF(MONTH(BU3)=7,"JUL","")&amp;IF(MONTH(BU3)=8,"AGO","")&amp;IF(MONTH(BU3)=9,"SEP","")&amp;IF(MONTH(BU3)=10,"OCT","")&amp;IF(MONTH(BU3)=11,"NOV","")&amp;IF(MONTH(BU3)=12,"DIC",""))&amp;"-"&amp;YEAR(BU3))</f>
        <v>ND</v>
      </c>
      <c r="BZ3" s="59" t="str">
        <f t="shared" si="3"/>
        <v>SEM 28</v>
      </c>
      <c r="CA3" s="59" t="str">
        <f t="shared" si="4"/>
        <v>JUL</v>
      </c>
      <c r="CB3" s="59" t="str">
        <f t="shared" si="5"/>
        <v>NA</v>
      </c>
      <c r="CC3" s="59" t="str">
        <f t="shared" si="6"/>
        <v/>
      </c>
      <c r="CD3" s="59" t="str">
        <f t="shared" si="7"/>
        <v>NA</v>
      </c>
      <c r="CE3" s="59" t="str">
        <f t="shared" si="8"/>
        <v/>
      </c>
      <c r="CF3" s="59" t="str">
        <f t="shared" si="9"/>
        <v>1RA-OCT</v>
      </c>
      <c r="CG3" s="59" t="str">
        <f t="shared" ca="1" si="10"/>
        <v>3RA SEM</v>
      </c>
      <c r="CH3" s="59" t="str">
        <f t="shared" ca="1" si="11"/>
        <v>NA</v>
      </c>
      <c r="CI3" s="59" t="str">
        <f t="shared" ca="1" si="12"/>
        <v>DE 6 A 10 DIAS</v>
      </c>
      <c r="CJ3" s="59" t="str">
        <f t="shared" ca="1" si="13"/>
        <v>DE 6 A 10 DIAS</v>
      </c>
      <c r="CK3" s="59" t="str">
        <f t="shared" ca="1" si="14"/>
        <v>DE 6 A 10 DIAS</v>
      </c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>
        <f t="shared" ref="DG3:DG66" si="43">IF(CW3="VIGENTE",CM3,0)+IF(CX3="VIGENTE",CN3,0)+IF(CY3="VIGENTE",CO3,0)+IF(CZ3="VIGENTE",CP3,0)+IF(DA3="VIGENTE",CQ3,0)+IF(DB3="VIGENTE",CR3,0)+IF(DC3="VIGENTE",CS3,0)+IF(DD3="VIGENTE",CT3,0)+IF(DE3="VIGENTE",CU3,0)+IF(DF3="VIGENTE",CV3,0)</f>
        <v>0</v>
      </c>
      <c r="DH3" s="8">
        <f>IF(CW3="PAGADO",CM3,0)+IF(CX3="PAGADO",CN3,0)+IF(CY3="PAGADO",CO3,0)+IF(CZ3="PAGADO",CP3,0)+IF(DA3="PAGADO",CQ3,0)+IF(DB3="PAGADO",CR3,0)+IF(DC3="PAGADO",CS3,0)+IF(DD3="PAGADO",CT3,0)+IF(DE3="PAGADO",CU3,0)+IF(DF3="PAGADO",CV3,0)</f>
        <v>0</v>
      </c>
      <c r="DI3" s="8">
        <f t="shared" ref="DI3:DI66" si="44">IF(CW3="VENCIDO",CM3,0)+IF(CX3="VENCIDO",CN3,0)+IF(CY3="VENCIDO",CO3,0)+IF(CZ3="VENCIDO",CP3,0)+IF(DA3="VENCIDO",CQ3,0)+IF(DB3="VENCIDO",CR3,0)+IF(DC3="VENCIDO",CS3,0)+IF(DD3="VENCIDO",CT3,0)+IF(DE3="VENCIDO",CU3,0)+IF(DF3="VENCIDO",CV3,0)</f>
        <v>0</v>
      </c>
      <c r="DJ3" s="8"/>
      <c r="DK3" s="8"/>
      <c r="DL3" s="8"/>
      <c r="DM3" s="8"/>
      <c r="DN3" s="8"/>
      <c r="DO3" s="8"/>
      <c r="DP3" s="8"/>
      <c r="DQ3" s="8"/>
      <c r="DR3" s="8"/>
      <c r="DS3" s="8"/>
      <c r="DT3" s="59" t="str">
        <f t="shared" ref="DT3:DT66" si="45">IF(DJ3=0,"NA","SEM "&amp;WEEKNUM(DJ3))</f>
        <v>NA</v>
      </c>
      <c r="DU3" s="59" t="str">
        <f t="shared" ref="DU3:DU66" si="46">IF(DK3=0,"NA","SEM "&amp;WEEKNUM(DK3))</f>
        <v>NA</v>
      </c>
      <c r="DV3" s="59" t="str">
        <f t="shared" ref="DV3:DV66" si="47">IF(DL3=0,"NA","SEM "&amp;WEEKNUM(DL3))</f>
        <v>NA</v>
      </c>
      <c r="DW3" s="59" t="str">
        <f t="shared" ref="DW3:DW66" si="48">IF(DM3=0,"NA","SEM "&amp;WEEKNUM(DM3))</f>
        <v>NA</v>
      </c>
      <c r="DX3" s="59" t="str">
        <f t="shared" ref="DX3:DX66" si="49">IF(DN3=0,"NA","SEM "&amp;WEEKNUM(DN3))</f>
        <v>NA</v>
      </c>
      <c r="DY3" s="59" t="str">
        <f t="shared" ref="DY3:DY66" si="50">IF(DO3=0,"NA","SEM "&amp;WEEKNUM(DO3))</f>
        <v>NA</v>
      </c>
      <c r="DZ3" s="59" t="str">
        <f t="shared" ref="DZ3:DZ66" si="51">IF(DP3=0,"NA","SEM "&amp;WEEKNUM(DP3))</f>
        <v>NA</v>
      </c>
      <c r="EA3" s="59" t="str">
        <f t="shared" ref="EA3:EA66" si="52">IF(DQ3=0,"NA","SEM "&amp;WEEKNUM(DQ3))</f>
        <v>NA</v>
      </c>
      <c r="EB3" s="59" t="str">
        <f t="shared" ref="EB3:EB66" si="53">IF(DR3=0,"NA","SEM "&amp;WEEKNUM(DR3))</f>
        <v>NA</v>
      </c>
      <c r="EC3" s="59" t="str">
        <f t="shared" ref="EC3:EC66" si="54">IF(DS3=0,"NA","SEM "&amp;WEEKNUM(DS3))</f>
        <v>NA</v>
      </c>
      <c r="ED3" s="59" t="str">
        <f t="shared" ref="ED3:ED66" si="55">IF(DJ3=0,"",IF(MONTH(DJ3)=1,"ENE","")&amp;IF(MONTH(DJ3)=2,"FEB","")&amp;IF(MONTH(DJ3)=3,"MAR","")&amp;IF(MONTH(DJ3)=4,"ABR","")&amp;IF(MONTH(DJ3)=5,"MAY","")&amp;IF(MONTH(DJ3)=6,"JUN","")&amp;IF(MONTH(DJ3)=7,"JUL","")&amp;IF(MONTH(DJ3)=8,"AGO","")&amp;IF(MONTH(DJ3)=9,"SEP","")&amp;IF(MONTH(DJ3)=10,"OCT","")&amp;IF(MONTH(DJ3)=11,"NOV","")&amp;IF(MONTH(DJ3)=12,"DIC",""))</f>
        <v/>
      </c>
      <c r="EE3" s="59" t="str">
        <f t="shared" ref="EE3:EE66" si="56">IF(DK3=0,"",IF(MONTH(DK3)=1,"ENE","")&amp;IF(MONTH(DK3)=2,"FEB","")&amp;IF(MONTH(DK3)=3,"MAR","")&amp;IF(MONTH(DK3)=4,"ABR","")&amp;IF(MONTH(DK3)=5,"MAY","")&amp;IF(MONTH(DK3)=6,"JUN","")&amp;IF(MONTH(DK3)=7,"JUL","")&amp;IF(MONTH(DK3)=8,"AGO","")&amp;IF(MONTH(DK3)=9,"SEP","")&amp;IF(MONTH(DK3)=10,"OCT","")&amp;IF(MONTH(DK3)=11,"NOV","")&amp;IF(MONTH(DK3)=12,"DIC",""))</f>
        <v/>
      </c>
      <c r="EF3" s="59" t="str">
        <f t="shared" ref="EF3:EF66" si="57">IF(DL3=0,"",IF(MONTH(DL3)=1,"ENE","")&amp;IF(MONTH(DL3)=2,"FEB","")&amp;IF(MONTH(DL3)=3,"MAR","")&amp;IF(MONTH(DL3)=4,"ABR","")&amp;IF(MONTH(DL3)=5,"MAY","")&amp;IF(MONTH(DL3)=6,"JUN","")&amp;IF(MONTH(DL3)=7,"JUL","")&amp;IF(MONTH(DL3)=8,"AGO","")&amp;IF(MONTH(DL3)=9,"SEP","")&amp;IF(MONTH(DL3)=10,"OCT","")&amp;IF(MONTH(DL3)=11,"NOV","")&amp;IF(MONTH(DL3)=12,"DIC",""))</f>
        <v/>
      </c>
      <c r="EG3" s="59" t="str">
        <f t="shared" ref="EG3:EG66" si="58">IF(DM3=0,"",IF(MONTH(DM3)=1,"ENE","")&amp;IF(MONTH(DM3)=2,"FEB","")&amp;IF(MONTH(DM3)=3,"MAR","")&amp;IF(MONTH(DM3)=4,"ABR","")&amp;IF(MONTH(DM3)=5,"MAY","")&amp;IF(MONTH(DM3)=6,"JUN","")&amp;IF(MONTH(DM3)=7,"JUL","")&amp;IF(MONTH(DM3)=8,"AGO","")&amp;IF(MONTH(DM3)=9,"SEP","")&amp;IF(MONTH(DM3)=10,"OCT","")&amp;IF(MONTH(DM3)=11,"NOV","")&amp;IF(MONTH(DM3)=12,"DIC",""))</f>
        <v/>
      </c>
      <c r="EH3" s="59" t="str">
        <f t="shared" ref="EH3:EH66" si="59">IF(DN3=0,"",IF(MONTH(DN3)=1,"ENE","")&amp;IF(MONTH(DN3)=2,"FEB","")&amp;IF(MONTH(DN3)=3,"MAR","")&amp;IF(MONTH(DN3)=4,"ABR","")&amp;IF(MONTH(DN3)=5,"MAY","")&amp;IF(MONTH(DN3)=6,"JUN","")&amp;IF(MONTH(DN3)=7,"JUL","")&amp;IF(MONTH(DN3)=8,"AGO","")&amp;IF(MONTH(DN3)=9,"SEP","")&amp;IF(MONTH(DN3)=10,"OCT","")&amp;IF(MONTH(DN3)=11,"NOV","")&amp;IF(MONTH(DN3)=12,"DIC",""))</f>
        <v/>
      </c>
      <c r="EI3" s="59" t="str">
        <f t="shared" ref="EI3:EI66" si="60">IF(DO3=0,"",IF(MONTH(DO3)=1,"ENE","")&amp;IF(MONTH(DO3)=2,"FEB","")&amp;IF(MONTH(DO3)=3,"MAR","")&amp;IF(MONTH(DO3)=4,"ABR","")&amp;IF(MONTH(DO3)=5,"MAY","")&amp;IF(MONTH(DO3)=6,"JUN","")&amp;IF(MONTH(DO3)=7,"JUL","")&amp;IF(MONTH(DO3)=8,"AGO","")&amp;IF(MONTH(DO3)=9,"SEP","")&amp;IF(MONTH(DO3)=10,"OCT","")&amp;IF(MONTH(DO3)=11,"NOV","")&amp;IF(MONTH(DO3)=12,"DIC",""))</f>
        <v/>
      </c>
      <c r="EJ3" s="59" t="str">
        <f t="shared" ref="EJ3:EJ66" si="61">IF(DP3=0,"",IF(MONTH(DP3)=1,"ENE","")&amp;IF(MONTH(DP3)=2,"FEB","")&amp;IF(MONTH(DP3)=3,"MAR","")&amp;IF(MONTH(DP3)=4,"ABR","")&amp;IF(MONTH(DP3)=5,"MAY","")&amp;IF(MONTH(DP3)=6,"JUN","")&amp;IF(MONTH(DP3)=7,"JUL","")&amp;IF(MONTH(DP3)=8,"AGO","")&amp;IF(MONTH(DP3)=9,"SEP","")&amp;IF(MONTH(DP3)=10,"OCT","")&amp;IF(MONTH(DP3)=11,"NOV","")&amp;IF(MONTH(DP3)=12,"DIC",""))</f>
        <v/>
      </c>
      <c r="EK3" s="59" t="str">
        <f t="shared" ref="EK3:EK66" si="62">IF(DQ3=0,"",IF(MONTH(DQ3)=1,"ENE","")&amp;IF(MONTH(DQ3)=2,"FEB","")&amp;IF(MONTH(DQ3)=3,"MAR","")&amp;IF(MONTH(DQ3)=4,"ABR","")&amp;IF(MONTH(DQ3)=5,"MAY","")&amp;IF(MONTH(DQ3)=6,"JUN","")&amp;IF(MONTH(DQ3)=7,"JUL","")&amp;IF(MONTH(DQ3)=8,"AGO","")&amp;IF(MONTH(DQ3)=9,"SEP","")&amp;IF(MONTH(DQ3)=10,"OCT","")&amp;IF(MONTH(DQ3)=11,"NOV","")&amp;IF(MONTH(DQ3)=12,"DIC",""))</f>
        <v/>
      </c>
      <c r="EL3" s="59" t="str">
        <f t="shared" ref="EL3:EL66" si="63">IF(DR3=0,"",IF(MONTH(DR3)=1,"ENE","")&amp;IF(MONTH(DR3)=2,"FEB","")&amp;IF(MONTH(DR3)=3,"MAR","")&amp;IF(MONTH(DR3)=4,"ABR","")&amp;IF(MONTH(DR3)=5,"MAY","")&amp;IF(MONTH(DR3)=6,"JUN","")&amp;IF(MONTH(DR3)=7,"JUL","")&amp;IF(MONTH(DR3)=8,"AGO","")&amp;IF(MONTH(DR3)=9,"SEP","")&amp;IF(MONTH(DR3)=10,"OCT","")&amp;IF(MONTH(DR3)=11,"NOV","")&amp;IF(MONTH(DR3)=12,"DIC",""))</f>
        <v/>
      </c>
      <c r="EM3" s="59" t="str">
        <f t="shared" ref="EM3:EM66" si="64">IF(DS3=0,"",IF(MONTH(DS3)=1,"ENE","")&amp;IF(MONTH(DS3)=2,"FEB","")&amp;IF(MONTH(DS3)=3,"MAR","")&amp;IF(MONTH(DS3)=4,"ABR","")&amp;IF(MONTH(DS3)=5,"MAY","")&amp;IF(MONTH(DS3)=6,"JUN","")&amp;IF(MONTH(DS3)=7,"JUL","")&amp;IF(MONTH(DS3)=8,"AGO","")&amp;IF(MONTH(DS3)=9,"SEP","")&amp;IF(MONTH(DS3)=10,"OCT","")&amp;IF(MONTH(DS3)=11,"NOV","")&amp;IF(MONTH(DS3)=12,"DIC",""))</f>
        <v/>
      </c>
      <c r="EN3" s="59" t="str">
        <f t="shared" ref="EN3:EN66" si="65">IF(DJ3=0,"",YEAR(DJ3))</f>
        <v/>
      </c>
      <c r="EO3" s="59" t="str">
        <f t="shared" ref="EO3:EO66" si="66">IF(DK3=0,"",YEAR(DK3))</f>
        <v/>
      </c>
      <c r="EP3" s="59" t="str">
        <f t="shared" ref="EP3:EP66" si="67">IF(DL3=0,"",YEAR(DL3))</f>
        <v/>
      </c>
      <c r="EQ3" s="59" t="str">
        <f t="shared" ref="EQ3:EQ66" si="68">IF(DM3=0,"",YEAR(DM3))</f>
        <v/>
      </c>
      <c r="ER3" s="59" t="str">
        <f t="shared" ref="ER3:ER66" si="69">IF(DN3=0,"",YEAR(DN3))</f>
        <v/>
      </c>
      <c r="ES3" s="59" t="str">
        <f t="shared" ref="ES3:ES66" si="70">IF(DO3=0,"",YEAR(DO3))</f>
        <v/>
      </c>
      <c r="ET3" s="59" t="str">
        <f t="shared" ref="ET3:ET66" si="71">IF(DP3=0,"",YEAR(DP3))</f>
        <v/>
      </c>
      <c r="EU3" s="59" t="str">
        <f t="shared" ref="EU3:EU66" si="72">IF(DQ3=0,"",YEAR(DQ3))</f>
        <v/>
      </c>
      <c r="EV3" s="59" t="str">
        <f t="shared" ref="EV3:EV66" si="73">IF(DR3=0,"",YEAR(DR3))</f>
        <v/>
      </c>
      <c r="EW3" s="59" t="str">
        <f t="shared" ref="EW3:EW66" si="74">IF(DS3=0,"",YEAR(DS3))</f>
        <v/>
      </c>
      <c r="EX3" s="56">
        <f t="shared" si="26"/>
        <v>1156422.8</v>
      </c>
      <c r="EZ3" s="42" t="s">
        <v>59</v>
      </c>
      <c r="FA3" s="42" t="s">
        <v>34</v>
      </c>
      <c r="FB3" s="41" t="s">
        <v>70</v>
      </c>
      <c r="FC3" s="41" t="s">
        <v>76</v>
      </c>
      <c r="FD3" s="43" t="s">
        <v>85</v>
      </c>
      <c r="FE3" s="41" t="s">
        <v>61</v>
      </c>
      <c r="FF3" s="41" t="s">
        <v>250</v>
      </c>
      <c r="FG3" s="41" t="s">
        <v>372</v>
      </c>
    </row>
    <row r="4" spans="1:163" x14ac:dyDescent="0.25">
      <c r="A4" s="2">
        <f t="shared" ref="A4:A67" si="75">A3+1</f>
        <v>3</v>
      </c>
      <c r="B4" s="2" t="s">
        <v>6</v>
      </c>
      <c r="C4" s="2" t="str">
        <f t="shared" si="27"/>
        <v>020103</v>
      </c>
      <c r="D4" s="2">
        <v>2</v>
      </c>
      <c r="E4" s="3">
        <v>1</v>
      </c>
      <c r="F4" s="2">
        <v>3</v>
      </c>
      <c r="G4" s="4" t="s">
        <v>7</v>
      </c>
      <c r="H4" s="4"/>
      <c r="I4" s="42" t="s">
        <v>39</v>
      </c>
      <c r="J4" s="9">
        <v>89.86</v>
      </c>
      <c r="K4" s="9"/>
      <c r="L4" s="10" t="s">
        <v>8</v>
      </c>
      <c r="M4" s="24" t="s">
        <v>178</v>
      </c>
      <c r="N4" s="7">
        <f t="shared" ref="N4:N67" si="76">IF(L4="AKUA",1126000+((J4-80)*3800),1135000+((J4-80)*3800))</f>
        <v>1172468</v>
      </c>
      <c r="O4" s="8">
        <v>42</v>
      </c>
      <c r="P4" s="25">
        <v>41228</v>
      </c>
      <c r="Q4" s="8" t="str">
        <f t="shared" si="28"/>
        <v>2DA-NOV</v>
      </c>
      <c r="R4" s="26">
        <v>0.1</v>
      </c>
      <c r="S4" s="41" t="s">
        <v>34</v>
      </c>
      <c r="T4" s="8" t="s">
        <v>353</v>
      </c>
      <c r="U4" s="8"/>
      <c r="V4" s="7">
        <v>586234</v>
      </c>
      <c r="W4" s="7">
        <f>+V4*0.63</f>
        <v>369327.42</v>
      </c>
      <c r="X4" s="7">
        <f t="shared" si="29"/>
        <v>216906.58000000002</v>
      </c>
      <c r="Y4" s="7">
        <v>0</v>
      </c>
      <c r="Z4" s="7">
        <f t="shared" si="30"/>
        <v>369327.42</v>
      </c>
      <c r="AA4" s="148" t="str">
        <f t="shared" si="31"/>
        <v>65%</v>
      </c>
      <c r="AB4" s="148">
        <f t="shared" si="32"/>
        <v>0.35</v>
      </c>
      <c r="AC4" s="25">
        <f ca="1">TODAY()-14</f>
        <v>41108</v>
      </c>
      <c r="AD4" s="25">
        <f t="shared" ref="AD4:AE4" ca="1" si="77">TODAY()-14</f>
        <v>41108</v>
      </c>
      <c r="AE4" s="25">
        <f t="shared" ca="1" si="77"/>
        <v>41108</v>
      </c>
      <c r="AF4" s="8"/>
      <c r="AG4" s="59" t="str">
        <f t="shared" ca="1" si="34"/>
        <v>NA</v>
      </c>
      <c r="AH4" s="55"/>
      <c r="AI4" s="55"/>
      <c r="AJ4" s="55"/>
      <c r="AK4" s="55"/>
      <c r="AL4" s="55"/>
      <c r="AM4" s="55"/>
      <c r="AN4" s="8"/>
      <c r="AO4" s="8"/>
      <c r="AP4" s="8"/>
      <c r="AQ4" s="8"/>
      <c r="AR4" s="59" t="str">
        <f t="shared" si="35"/>
        <v>NA</v>
      </c>
      <c r="AS4" s="59" t="str">
        <f t="shared" si="36"/>
        <v/>
      </c>
      <c r="AT4" s="59"/>
      <c r="AU4" s="59" t="str">
        <f t="shared" si="1"/>
        <v>ND</v>
      </c>
      <c r="AV4" s="66" t="s">
        <v>73</v>
      </c>
      <c r="AW4" s="66" t="s">
        <v>38</v>
      </c>
      <c r="AX4" s="66" t="s">
        <v>82</v>
      </c>
      <c r="AY4" s="66" t="s">
        <v>172</v>
      </c>
      <c r="AZ4" s="25">
        <v>41012</v>
      </c>
      <c r="BA4" s="8" t="s">
        <v>390</v>
      </c>
      <c r="BB4" s="25">
        <v>41059</v>
      </c>
      <c r="BC4" s="25">
        <v>41197</v>
      </c>
      <c r="BD4" s="8"/>
      <c r="BE4" s="8"/>
      <c r="BF4" s="8"/>
      <c r="BG4" s="8"/>
      <c r="BH4" s="8"/>
      <c r="BI4" s="8"/>
      <c r="BJ4" s="8"/>
      <c r="BK4" s="59" t="s">
        <v>371</v>
      </c>
      <c r="BL4" s="59" t="s">
        <v>378</v>
      </c>
      <c r="BM4" s="59" t="s">
        <v>378</v>
      </c>
      <c r="BN4" s="164">
        <v>0.01</v>
      </c>
      <c r="BO4" s="165">
        <f t="shared" si="37"/>
        <v>3908.2266666666669</v>
      </c>
      <c r="BP4" s="165">
        <f t="shared" ref="BP4:BQ4" si="78">BO4</f>
        <v>3908.2266666666669</v>
      </c>
      <c r="BQ4" s="165">
        <f t="shared" si="78"/>
        <v>3908.2266666666669</v>
      </c>
      <c r="BR4" s="162">
        <v>41075</v>
      </c>
      <c r="BS4" s="59"/>
      <c r="BT4" s="59"/>
      <c r="BU4" s="59"/>
      <c r="BV4" s="59" t="str">
        <f t="shared" si="39"/>
        <v>2DA-JUN-2012</v>
      </c>
      <c r="BW4" s="59" t="str">
        <f t="shared" si="40"/>
        <v>ND</v>
      </c>
      <c r="BX4" s="59" t="str">
        <f t="shared" si="41"/>
        <v>ND</v>
      </c>
      <c r="BY4" s="59" t="str">
        <f t="shared" si="42"/>
        <v>ND</v>
      </c>
      <c r="BZ4" s="59" t="str">
        <f t="shared" si="3"/>
        <v>SEM 15</v>
      </c>
      <c r="CA4" s="59" t="str">
        <f t="shared" si="4"/>
        <v>ABR</v>
      </c>
      <c r="CB4" s="59" t="str">
        <f t="shared" si="5"/>
        <v>NA</v>
      </c>
      <c r="CC4" s="59" t="str">
        <f t="shared" si="6"/>
        <v/>
      </c>
      <c r="CD4" s="59" t="str">
        <f t="shared" si="7"/>
        <v>NA</v>
      </c>
      <c r="CE4" s="59" t="str">
        <f t="shared" si="8"/>
        <v/>
      </c>
      <c r="CF4" s="59" t="str">
        <f t="shared" si="9"/>
        <v>1RA-OCT</v>
      </c>
      <c r="CG4" s="59" t="str">
        <f t="shared" ca="1" si="10"/>
        <v>MAYOR A 2 MESES</v>
      </c>
      <c r="CH4" s="59" t="str">
        <f t="shared" ca="1" si="11"/>
        <v>NA</v>
      </c>
      <c r="CI4" s="59" t="str">
        <f t="shared" ca="1" si="12"/>
        <v>DE 11 A 15 DIAS</v>
      </c>
      <c r="CJ4" s="59" t="str">
        <f t="shared" ca="1" si="13"/>
        <v>DE 11 A 15 DIAS</v>
      </c>
      <c r="CK4" s="59" t="str">
        <f t="shared" ca="1" si="14"/>
        <v>DE 11 A 15 DIAS</v>
      </c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>
        <f t="shared" si="43"/>
        <v>0</v>
      </c>
      <c r="DH4" s="8">
        <f t="shared" ref="DH4:DH66" si="79">IF(CW4="PAGADO",CM4,0)+IF(CX4="PAGADO",CN4,0)+IF(CY4="PAGADO",CO4,0)+IF(CZ4="PAGADO",CP4,0)+IF(DA4="PAGADO",CQ4,0)+IF(DB4="PAGADO",CR4,0)+IF(DC4="PAGADO",CS4,0)+IF(DD4="PAGADO",CT4,0)+IF(DE4="PAGADO",CU4,0)+IF(DF4="PAGADO",CV4,0)</f>
        <v>0</v>
      </c>
      <c r="DI4" s="8">
        <f t="shared" si="44"/>
        <v>0</v>
      </c>
      <c r="DJ4" s="8"/>
      <c r="DK4" s="8"/>
      <c r="DL4" s="8"/>
      <c r="DM4" s="8"/>
      <c r="DN4" s="8"/>
      <c r="DO4" s="8"/>
      <c r="DP4" s="8"/>
      <c r="DQ4" s="8"/>
      <c r="DR4" s="8"/>
      <c r="DS4" s="8"/>
      <c r="DT4" s="59" t="str">
        <f t="shared" si="45"/>
        <v>NA</v>
      </c>
      <c r="DU4" s="59" t="str">
        <f t="shared" si="46"/>
        <v>NA</v>
      </c>
      <c r="DV4" s="59" t="str">
        <f t="shared" si="47"/>
        <v>NA</v>
      </c>
      <c r="DW4" s="59" t="str">
        <f t="shared" si="48"/>
        <v>NA</v>
      </c>
      <c r="DX4" s="59" t="str">
        <f t="shared" si="49"/>
        <v>NA</v>
      </c>
      <c r="DY4" s="59" t="str">
        <f t="shared" si="50"/>
        <v>NA</v>
      </c>
      <c r="DZ4" s="59" t="str">
        <f t="shared" si="51"/>
        <v>NA</v>
      </c>
      <c r="EA4" s="59" t="str">
        <f t="shared" si="52"/>
        <v>NA</v>
      </c>
      <c r="EB4" s="59" t="str">
        <f t="shared" si="53"/>
        <v>NA</v>
      </c>
      <c r="EC4" s="59" t="str">
        <f t="shared" si="54"/>
        <v>NA</v>
      </c>
      <c r="ED4" s="59" t="str">
        <f t="shared" si="55"/>
        <v/>
      </c>
      <c r="EE4" s="59" t="str">
        <f t="shared" si="56"/>
        <v/>
      </c>
      <c r="EF4" s="59" t="str">
        <f t="shared" si="57"/>
        <v/>
      </c>
      <c r="EG4" s="59" t="str">
        <f t="shared" si="58"/>
        <v/>
      </c>
      <c r="EH4" s="59" t="str">
        <f t="shared" si="59"/>
        <v/>
      </c>
      <c r="EI4" s="59" t="str">
        <f t="shared" si="60"/>
        <v/>
      </c>
      <c r="EJ4" s="59" t="str">
        <f t="shared" si="61"/>
        <v/>
      </c>
      <c r="EK4" s="59" t="str">
        <f t="shared" si="62"/>
        <v/>
      </c>
      <c r="EL4" s="59" t="str">
        <f t="shared" si="63"/>
        <v/>
      </c>
      <c r="EM4" s="59" t="str">
        <f t="shared" si="64"/>
        <v/>
      </c>
      <c r="EN4" s="59" t="str">
        <f t="shared" si="65"/>
        <v/>
      </c>
      <c r="EO4" s="59" t="str">
        <f t="shared" si="66"/>
        <v/>
      </c>
      <c r="EP4" s="59" t="str">
        <f t="shared" si="67"/>
        <v/>
      </c>
      <c r="EQ4" s="59" t="str">
        <f t="shared" si="68"/>
        <v/>
      </c>
      <c r="ER4" s="59" t="str">
        <f t="shared" si="69"/>
        <v/>
      </c>
      <c r="ES4" s="59" t="str">
        <f t="shared" si="70"/>
        <v/>
      </c>
      <c r="ET4" s="59" t="str">
        <f t="shared" si="71"/>
        <v/>
      </c>
      <c r="EU4" s="59" t="str">
        <f t="shared" si="72"/>
        <v/>
      </c>
      <c r="EV4" s="59" t="str">
        <f t="shared" si="73"/>
        <v/>
      </c>
      <c r="EW4" s="59" t="str">
        <f t="shared" si="74"/>
        <v/>
      </c>
      <c r="EX4" s="56">
        <f t="shared" si="26"/>
        <v>1172468</v>
      </c>
      <c r="EZ4" s="42" t="s">
        <v>39</v>
      </c>
      <c r="FB4" s="41" t="s">
        <v>72</v>
      </c>
      <c r="FC4" s="41" t="s">
        <v>77</v>
      </c>
      <c r="FD4" s="41" t="s">
        <v>80</v>
      </c>
      <c r="FE4" s="41" t="s">
        <v>62</v>
      </c>
      <c r="FF4" s="41" t="s">
        <v>251</v>
      </c>
      <c r="FG4" s="41" t="s">
        <v>378</v>
      </c>
    </row>
    <row r="5" spans="1:163" x14ac:dyDescent="0.25">
      <c r="A5" s="2">
        <f t="shared" si="75"/>
        <v>4</v>
      </c>
      <c r="B5" s="2" t="s">
        <v>6</v>
      </c>
      <c r="C5" s="2" t="str">
        <f t="shared" si="27"/>
        <v>020104</v>
      </c>
      <c r="D5" s="2">
        <v>2</v>
      </c>
      <c r="E5" s="3">
        <v>1</v>
      </c>
      <c r="F5" s="2">
        <v>4</v>
      </c>
      <c r="G5" s="4" t="s">
        <v>7</v>
      </c>
      <c r="H5" s="4"/>
      <c r="I5" s="42" t="s">
        <v>60</v>
      </c>
      <c r="J5" s="9">
        <v>91.715000000000003</v>
      </c>
      <c r="K5" s="5"/>
      <c r="L5" s="6" t="s">
        <v>306</v>
      </c>
      <c r="M5" s="24" t="s">
        <v>178</v>
      </c>
      <c r="N5" s="7">
        <f t="shared" si="76"/>
        <v>1170517</v>
      </c>
      <c r="O5" s="8">
        <v>43</v>
      </c>
      <c r="P5" s="25">
        <v>41228</v>
      </c>
      <c r="Q5" s="8" t="str">
        <f t="shared" si="28"/>
        <v>2DA-NOV</v>
      </c>
      <c r="R5" s="26">
        <v>0.1</v>
      </c>
      <c r="S5" s="41" t="s">
        <v>34</v>
      </c>
      <c r="T5" s="8" t="s">
        <v>353</v>
      </c>
      <c r="U5" s="8"/>
      <c r="V5" s="7">
        <v>585258.5</v>
      </c>
      <c r="W5" s="7">
        <f t="shared" ref="W5:W14" si="80">+V5*0.63</f>
        <v>368712.85499999998</v>
      </c>
      <c r="X5" s="7">
        <f t="shared" si="29"/>
        <v>216545.64500000002</v>
      </c>
      <c r="Y5" s="7">
        <v>0</v>
      </c>
      <c r="Z5" s="7">
        <f t="shared" si="30"/>
        <v>368712.85499999998</v>
      </c>
      <c r="AA5" s="148" t="str">
        <f t="shared" si="31"/>
        <v>65%</v>
      </c>
      <c r="AB5" s="148">
        <f t="shared" si="32"/>
        <v>0.35</v>
      </c>
      <c r="AC5" s="25">
        <f ca="1">TODAY()-19</f>
        <v>41103</v>
      </c>
      <c r="AD5" s="25">
        <f t="shared" ref="AD5:AE5" ca="1" si="81">TODAY()-19</f>
        <v>41103</v>
      </c>
      <c r="AE5" s="25">
        <f t="shared" ca="1" si="81"/>
        <v>41103</v>
      </c>
      <c r="AF5" s="25">
        <v>40998</v>
      </c>
      <c r="AG5" s="59" t="str">
        <f t="shared" ca="1" si="34"/>
        <v>MAYOR A 2 MESES</v>
      </c>
      <c r="AH5" s="55" t="s">
        <v>124</v>
      </c>
      <c r="AI5" s="55"/>
      <c r="AJ5" s="55"/>
      <c r="AK5" s="55"/>
      <c r="AL5" s="55"/>
      <c r="AM5" s="55"/>
      <c r="AN5" s="8"/>
      <c r="AO5" s="8">
        <v>513541</v>
      </c>
      <c r="AP5" s="8">
        <v>65416514</v>
      </c>
      <c r="AQ5" s="8" t="s">
        <v>149</v>
      </c>
      <c r="AR5" s="59" t="str">
        <f t="shared" si="35"/>
        <v>SEM 13</v>
      </c>
      <c r="AS5" s="59" t="str">
        <f t="shared" si="36"/>
        <v>MAR</v>
      </c>
      <c r="AT5" s="59">
        <v>22000</v>
      </c>
      <c r="AU5" s="59" t="str">
        <f t="shared" si="1"/>
        <v>ENTRE 18 Y 25 MIL</v>
      </c>
      <c r="AV5" s="66" t="s">
        <v>73</v>
      </c>
      <c r="AW5" s="66" t="s">
        <v>38</v>
      </c>
      <c r="AX5" s="66" t="s">
        <v>81</v>
      </c>
      <c r="AY5" s="170" t="s">
        <v>174</v>
      </c>
      <c r="AZ5" s="25">
        <v>40998</v>
      </c>
      <c r="BA5" s="41" t="s">
        <v>36</v>
      </c>
      <c r="BB5" s="25">
        <v>40998</v>
      </c>
      <c r="BC5" s="25">
        <v>41233</v>
      </c>
      <c r="BD5" s="25">
        <v>41014</v>
      </c>
      <c r="BE5" s="25"/>
      <c r="BF5" s="8"/>
      <c r="BG5" s="8"/>
      <c r="BH5" s="8"/>
      <c r="BI5" s="8">
        <v>86</v>
      </c>
      <c r="BJ5" s="8"/>
      <c r="BK5" s="59" t="s">
        <v>371</v>
      </c>
      <c r="BL5" s="59" t="s">
        <v>378</v>
      </c>
      <c r="BM5" s="59" t="s">
        <v>378</v>
      </c>
      <c r="BN5" s="164">
        <v>0.01</v>
      </c>
      <c r="BO5" s="165">
        <f t="shared" si="37"/>
        <v>3901.7233333333334</v>
      </c>
      <c r="BP5" s="165">
        <f t="shared" ref="BP5:BQ5" si="82">BO5</f>
        <v>3901.7233333333334</v>
      </c>
      <c r="BQ5" s="165">
        <f t="shared" si="82"/>
        <v>3901.7233333333334</v>
      </c>
      <c r="BR5" s="162">
        <v>41014</v>
      </c>
      <c r="BS5" s="59"/>
      <c r="BT5" s="59"/>
      <c r="BU5" s="59"/>
      <c r="BV5" s="59" t="str">
        <f t="shared" ref="BV5:BV68" si="83">IF(BR5=0,"ND",IF(DAY(BR5)&lt;=13,"1ERA-",IF(DAY(BR5)&gt;13,"2DA-",""))&amp;(IF(MONTH(BR5)=1,"ENE","")&amp;IF(MONTH(BR5)=2,"FEB","")&amp;IF(MONTH(BR5)=3,"MAR","")&amp;IF(MONTH(BR5)=4,"ABR","")&amp;IF(MONTH(BR5)=5,"MAY","")&amp;IF(MONTH(BR5)=6,"JUN","")&amp;IF(MONTH(BR5)=7,"JUL","")&amp;IF(MONTH(BR5)=8,"AGO","")&amp;IF(MONTH(BR5)=9,"SEP","")&amp;IF(MONTH(BR5)=10,"OCT","")&amp;IF(MONTH(BR5)=11,"NOV","")&amp;IF(MONTH(BR5)=12,"DIC",""))&amp;"-"&amp;YEAR(BR5))</f>
        <v>2DA-ABR-2012</v>
      </c>
      <c r="BW5" s="59" t="str">
        <f t="shared" ref="BW5:BW68" si="84">IF(BS5=0,"ND",IF(DAY(BS5)&lt;=13,"1ERA-",IF(DAY(BS5)&gt;13,"2DA-",""))&amp;(IF(MONTH(BS5)=1,"ENE","")&amp;IF(MONTH(BS5)=2,"FEB","")&amp;IF(MONTH(BS5)=3,"MAR","")&amp;IF(MONTH(BS5)=4,"ABR","")&amp;IF(MONTH(BS5)=5,"MAY","")&amp;IF(MONTH(BS5)=6,"JUN","")&amp;IF(MONTH(BS5)=7,"JUL","")&amp;IF(MONTH(BS5)=8,"AGO","")&amp;IF(MONTH(BS5)=9,"SEP","")&amp;IF(MONTH(BS5)=10,"OCT","")&amp;IF(MONTH(BS5)=11,"NOV","")&amp;IF(MONTH(BS5)=12,"DIC",""))&amp;"-"&amp;YEAR(BS5))</f>
        <v>ND</v>
      </c>
      <c r="BX5" s="59" t="str">
        <f t="shared" ref="BX5:BX68" si="85">IF(BT5=0,"ND",IF(DAY(BT5)&lt;=13,"1ERA-",IF(DAY(BT5)&gt;13,"2DA-",""))&amp;(IF(MONTH(BT5)=1,"ENE","")&amp;IF(MONTH(BT5)=2,"FEB","")&amp;IF(MONTH(BT5)=3,"MAR","")&amp;IF(MONTH(BT5)=4,"ABR","")&amp;IF(MONTH(BT5)=5,"MAY","")&amp;IF(MONTH(BT5)=6,"JUN","")&amp;IF(MONTH(BT5)=7,"JUL","")&amp;IF(MONTH(BT5)=8,"AGO","")&amp;IF(MONTH(BT5)=9,"SEP","")&amp;IF(MONTH(BT5)=10,"OCT","")&amp;IF(MONTH(BT5)=11,"NOV","")&amp;IF(MONTH(BT5)=12,"DIC",""))&amp;"-"&amp;YEAR(BT5))</f>
        <v>ND</v>
      </c>
      <c r="BY5" s="59" t="str">
        <f t="shared" ref="BY5:BY68" si="86">IF(BU5=0,"ND",IF(DAY(BU5)&lt;=13,"1ERA-",IF(DAY(BU5)&gt;13,"2DA-",""))&amp;(IF(MONTH(BU5)=1,"ENE","")&amp;IF(MONTH(BU5)=2,"FEB","")&amp;IF(MONTH(BU5)=3,"MAR","")&amp;IF(MONTH(BU5)=4,"ABR","")&amp;IF(MONTH(BU5)=5,"MAY","")&amp;IF(MONTH(BU5)=6,"JUN","")&amp;IF(MONTH(BU5)=7,"JUL","")&amp;IF(MONTH(BU5)=8,"AGO","")&amp;IF(MONTH(BU5)=9,"SEP","")&amp;IF(MONTH(BU5)=10,"OCT","")&amp;IF(MONTH(BU5)=11,"NOV","")&amp;IF(MONTH(BU5)=12,"DIC",""))&amp;"-"&amp;YEAR(BU5))</f>
        <v>ND</v>
      </c>
      <c r="BZ5" s="59" t="str">
        <f t="shared" si="3"/>
        <v>SEM 13</v>
      </c>
      <c r="CA5" s="59" t="str">
        <f t="shared" si="4"/>
        <v>MAR</v>
      </c>
      <c r="CB5" s="59" t="str">
        <f t="shared" si="5"/>
        <v>NA</v>
      </c>
      <c r="CC5" s="59" t="str">
        <f t="shared" si="6"/>
        <v/>
      </c>
      <c r="CD5" s="59" t="str">
        <f t="shared" si="7"/>
        <v>NA</v>
      </c>
      <c r="CE5" s="59" t="str">
        <f t="shared" si="8"/>
        <v/>
      </c>
      <c r="CF5" s="59" t="str">
        <f t="shared" si="9"/>
        <v>2DA-NOV</v>
      </c>
      <c r="CG5" s="59" t="str">
        <f t="shared" ca="1" si="10"/>
        <v>MAYOR A 2 MESES</v>
      </c>
      <c r="CH5" s="59" t="str">
        <f t="shared" ca="1" si="11"/>
        <v>NA</v>
      </c>
      <c r="CI5" s="59" t="str">
        <f t="shared" ca="1" si="12"/>
        <v>DE 16 A 20 DIAS</v>
      </c>
      <c r="CJ5" s="59" t="str">
        <f t="shared" ca="1" si="13"/>
        <v>DE 16 A 20 DIAS</v>
      </c>
      <c r="CK5" s="59" t="str">
        <f t="shared" ca="1" si="14"/>
        <v>DE 16 A 20 DIAS</v>
      </c>
      <c r="CL5" s="8">
        <v>5000</v>
      </c>
      <c r="CM5" s="8">
        <v>30000</v>
      </c>
      <c r="CN5" s="8">
        <v>5000</v>
      </c>
      <c r="CO5" s="8">
        <v>50000</v>
      </c>
      <c r="CP5" s="8">
        <v>10000</v>
      </c>
      <c r="CQ5" s="8"/>
      <c r="CR5" s="8"/>
      <c r="CS5" s="8"/>
      <c r="CT5" s="8"/>
      <c r="CU5" s="8"/>
      <c r="CV5" s="8"/>
      <c r="CW5" s="8" t="s">
        <v>250</v>
      </c>
      <c r="CX5" s="8" t="s">
        <v>250</v>
      </c>
      <c r="CY5" s="8" t="s">
        <v>251</v>
      </c>
      <c r="CZ5" s="8" t="s">
        <v>251</v>
      </c>
      <c r="DA5" s="8"/>
      <c r="DB5" s="8"/>
      <c r="DC5" s="8"/>
      <c r="DD5" s="8"/>
      <c r="DE5" s="8"/>
      <c r="DF5" s="8"/>
      <c r="DG5" s="8">
        <f t="shared" si="43"/>
        <v>0</v>
      </c>
      <c r="DH5" s="8">
        <f t="shared" si="79"/>
        <v>35000</v>
      </c>
      <c r="DI5" s="8">
        <f t="shared" si="44"/>
        <v>60000</v>
      </c>
      <c r="DJ5" s="25">
        <f>+AZ5+15</f>
        <v>41013</v>
      </c>
      <c r="DK5" s="25">
        <f>+DJ5+15</f>
        <v>41028</v>
      </c>
      <c r="DL5" s="25">
        <f>+DK5+15</f>
        <v>41043</v>
      </c>
      <c r="DM5" s="25">
        <f>+DL5+15</f>
        <v>41058</v>
      </c>
      <c r="DN5" s="8"/>
      <c r="DO5" s="8"/>
      <c r="DP5" s="8"/>
      <c r="DQ5" s="8"/>
      <c r="DR5" s="8"/>
      <c r="DS5" s="8"/>
      <c r="DT5" s="59" t="str">
        <f t="shared" si="45"/>
        <v>SEM 15</v>
      </c>
      <c r="DU5" s="59" t="str">
        <f t="shared" si="46"/>
        <v>SEM 18</v>
      </c>
      <c r="DV5" s="59" t="str">
        <f t="shared" si="47"/>
        <v>SEM 20</v>
      </c>
      <c r="DW5" s="59" t="str">
        <f t="shared" si="48"/>
        <v>SEM 22</v>
      </c>
      <c r="DX5" s="59" t="str">
        <f t="shared" si="49"/>
        <v>NA</v>
      </c>
      <c r="DY5" s="59" t="str">
        <f t="shared" si="50"/>
        <v>NA</v>
      </c>
      <c r="DZ5" s="59" t="str">
        <f t="shared" si="51"/>
        <v>NA</v>
      </c>
      <c r="EA5" s="59" t="str">
        <f t="shared" si="52"/>
        <v>NA</v>
      </c>
      <c r="EB5" s="59" t="str">
        <f t="shared" si="53"/>
        <v>NA</v>
      </c>
      <c r="EC5" s="59" t="str">
        <f t="shared" si="54"/>
        <v>NA</v>
      </c>
      <c r="ED5" s="59" t="str">
        <f t="shared" si="55"/>
        <v>ABR</v>
      </c>
      <c r="EE5" s="59" t="str">
        <f t="shared" si="56"/>
        <v>ABR</v>
      </c>
      <c r="EF5" s="59" t="str">
        <f t="shared" si="57"/>
        <v>MAY</v>
      </c>
      <c r="EG5" s="59" t="str">
        <f t="shared" si="58"/>
        <v>MAY</v>
      </c>
      <c r="EH5" s="59" t="str">
        <f t="shared" si="59"/>
        <v/>
      </c>
      <c r="EI5" s="59" t="str">
        <f t="shared" si="60"/>
        <v/>
      </c>
      <c r="EJ5" s="59" t="str">
        <f t="shared" si="61"/>
        <v/>
      </c>
      <c r="EK5" s="59" t="str">
        <f t="shared" si="62"/>
        <v/>
      </c>
      <c r="EL5" s="59" t="str">
        <f t="shared" si="63"/>
        <v/>
      </c>
      <c r="EM5" s="59" t="str">
        <f t="shared" si="64"/>
        <v/>
      </c>
      <c r="EN5" s="59">
        <f t="shared" si="65"/>
        <v>2012</v>
      </c>
      <c r="EO5" s="59">
        <f t="shared" si="66"/>
        <v>2012</v>
      </c>
      <c r="EP5" s="59">
        <f t="shared" si="67"/>
        <v>2012</v>
      </c>
      <c r="EQ5" s="59">
        <f t="shared" si="68"/>
        <v>2012</v>
      </c>
      <c r="ER5" s="59" t="str">
        <f t="shared" si="69"/>
        <v/>
      </c>
      <c r="ES5" s="59" t="str">
        <f t="shared" si="70"/>
        <v/>
      </c>
      <c r="ET5" s="59" t="str">
        <f t="shared" si="71"/>
        <v/>
      </c>
      <c r="EU5" s="59" t="str">
        <f t="shared" si="72"/>
        <v/>
      </c>
      <c r="EV5" s="59" t="str">
        <f t="shared" si="73"/>
        <v/>
      </c>
      <c r="EW5" s="59" t="str">
        <f t="shared" si="74"/>
        <v/>
      </c>
      <c r="EX5" s="56">
        <f t="shared" si="26"/>
        <v>1070517</v>
      </c>
      <c r="EZ5" s="42" t="s">
        <v>60</v>
      </c>
      <c r="FB5" s="41" t="s">
        <v>73</v>
      </c>
      <c r="FC5" s="41" t="s">
        <v>78</v>
      </c>
      <c r="FD5" s="41" t="s">
        <v>81</v>
      </c>
      <c r="FE5" s="41" t="s">
        <v>63</v>
      </c>
      <c r="FG5" s="41" t="s">
        <v>373</v>
      </c>
    </row>
    <row r="6" spans="1:163" x14ac:dyDescent="0.25">
      <c r="A6" s="2">
        <f t="shared" si="75"/>
        <v>5</v>
      </c>
      <c r="B6" s="2" t="s">
        <v>6</v>
      </c>
      <c r="C6" s="2" t="str">
        <f t="shared" si="27"/>
        <v>020105</v>
      </c>
      <c r="D6" s="2">
        <v>2</v>
      </c>
      <c r="E6" s="3">
        <v>1</v>
      </c>
      <c r="F6" s="2">
        <v>5</v>
      </c>
      <c r="G6" s="4" t="s">
        <v>7</v>
      </c>
      <c r="H6" s="4"/>
      <c r="I6" s="42" t="s">
        <v>40</v>
      </c>
      <c r="J6" s="9">
        <v>93.569000000000003</v>
      </c>
      <c r="K6" s="5"/>
      <c r="L6" s="6" t="s">
        <v>306</v>
      </c>
      <c r="M6" s="24" t="s">
        <v>178</v>
      </c>
      <c r="N6" s="7">
        <f t="shared" si="76"/>
        <v>1177562.2</v>
      </c>
      <c r="O6" s="8">
        <v>44</v>
      </c>
      <c r="P6" s="25">
        <v>41228</v>
      </c>
      <c r="Q6" s="8" t="str">
        <f t="shared" si="28"/>
        <v>2DA-NOV</v>
      </c>
      <c r="R6" s="26">
        <v>0.1</v>
      </c>
      <c r="S6" s="41" t="s">
        <v>34</v>
      </c>
      <c r="T6" s="8" t="s">
        <v>353</v>
      </c>
      <c r="U6" s="8"/>
      <c r="V6" s="7">
        <v>588781.1</v>
      </c>
      <c r="W6" s="7">
        <f t="shared" si="80"/>
        <v>370932.09299999999</v>
      </c>
      <c r="X6" s="7">
        <f t="shared" si="29"/>
        <v>217849.00699999998</v>
      </c>
      <c r="Y6" s="7">
        <v>0</v>
      </c>
      <c r="Z6" s="7">
        <f t="shared" si="30"/>
        <v>370932.09299999999</v>
      </c>
      <c r="AA6" s="148" t="str">
        <f t="shared" si="31"/>
        <v>65%</v>
      </c>
      <c r="AB6" s="148">
        <f t="shared" si="32"/>
        <v>0.35</v>
      </c>
      <c r="AC6" s="25">
        <f ca="1">TODAY()-25</f>
        <v>41097</v>
      </c>
      <c r="AD6" s="25">
        <f t="shared" ref="AD6:AE6" ca="1" si="87">TODAY()-25</f>
        <v>41097</v>
      </c>
      <c r="AE6" s="25">
        <f t="shared" ca="1" si="87"/>
        <v>41097</v>
      </c>
      <c r="AF6" s="25">
        <v>41014</v>
      </c>
      <c r="AG6" s="59" t="str">
        <f t="shared" ca="1" si="34"/>
        <v>MAYOR A 2 MESES</v>
      </c>
      <c r="AH6" s="55" t="s">
        <v>125</v>
      </c>
      <c r="AI6" s="142"/>
      <c r="AJ6" s="55"/>
      <c r="AK6" s="55"/>
      <c r="AL6" s="55"/>
      <c r="AM6" s="55"/>
      <c r="AN6" s="8"/>
      <c r="AO6" s="8">
        <v>36321654</v>
      </c>
      <c r="AP6" s="8">
        <v>3216543</v>
      </c>
      <c r="AQ6" s="8"/>
      <c r="AR6" s="59" t="str">
        <f t="shared" si="35"/>
        <v>SEM 16</v>
      </c>
      <c r="AS6" s="59" t="str">
        <f t="shared" si="36"/>
        <v>ABR</v>
      </c>
      <c r="AT6" s="59">
        <v>17000</v>
      </c>
      <c r="AU6" s="59" t="str">
        <f t="shared" si="1"/>
        <v>ENTRE 12 Y 18 MIL</v>
      </c>
      <c r="AV6" s="66" t="s">
        <v>147</v>
      </c>
      <c r="AW6" s="66" t="s">
        <v>38</v>
      </c>
      <c r="AX6" s="66" t="s">
        <v>80</v>
      </c>
      <c r="AY6" s="66" t="s">
        <v>172</v>
      </c>
      <c r="AZ6" s="25">
        <v>41015</v>
      </c>
      <c r="BA6" s="41" t="s">
        <v>67</v>
      </c>
      <c r="BB6" s="25">
        <v>41029</v>
      </c>
      <c r="BC6" s="25">
        <v>41050</v>
      </c>
      <c r="BD6" s="25">
        <f>+BB6+12</f>
        <v>41041</v>
      </c>
      <c r="BE6" s="25"/>
      <c r="BF6" s="25">
        <f>+BD6+9</f>
        <v>41050</v>
      </c>
      <c r="BG6" s="25">
        <v>41059</v>
      </c>
      <c r="BH6" s="25"/>
      <c r="BI6" s="8">
        <v>86</v>
      </c>
      <c r="BJ6" s="25">
        <v>41065</v>
      </c>
      <c r="BK6" s="59" t="s">
        <v>371</v>
      </c>
      <c r="BL6" s="59" t="s">
        <v>371</v>
      </c>
      <c r="BM6" s="59" t="s">
        <v>371</v>
      </c>
      <c r="BN6" s="164">
        <v>0.01</v>
      </c>
      <c r="BO6" s="165">
        <f t="shared" si="37"/>
        <v>3925.2073333333333</v>
      </c>
      <c r="BP6" s="165">
        <f t="shared" ref="BP6:BQ6" si="88">BO6</f>
        <v>3925.2073333333333</v>
      </c>
      <c r="BQ6" s="165">
        <f t="shared" si="88"/>
        <v>3925.2073333333333</v>
      </c>
      <c r="BR6" s="162">
        <v>41030</v>
      </c>
      <c r="BS6" s="162">
        <v>41044</v>
      </c>
      <c r="BT6" s="162">
        <v>41059</v>
      </c>
      <c r="BU6" s="162"/>
      <c r="BV6" s="59" t="str">
        <f t="shared" si="83"/>
        <v>1ERA-MAY-2012</v>
      </c>
      <c r="BW6" s="59" t="str">
        <f t="shared" si="84"/>
        <v>2DA-MAY-2012</v>
      </c>
      <c r="BX6" s="59" t="str">
        <f t="shared" si="85"/>
        <v>2DA-MAY-2012</v>
      </c>
      <c r="BY6" s="59" t="str">
        <f t="shared" si="86"/>
        <v>ND</v>
      </c>
      <c r="BZ6" s="59" t="str">
        <f t="shared" si="3"/>
        <v>SEM 16</v>
      </c>
      <c r="CA6" s="59" t="str">
        <f t="shared" si="4"/>
        <v>ABR</v>
      </c>
      <c r="CB6" s="59" t="str">
        <f t="shared" si="5"/>
        <v>SEM 21</v>
      </c>
      <c r="CC6" s="59" t="str">
        <f t="shared" si="6"/>
        <v>MAY</v>
      </c>
      <c r="CD6" s="59" t="str">
        <f t="shared" si="7"/>
        <v>SEM 23</v>
      </c>
      <c r="CE6" s="59" t="str">
        <f t="shared" si="8"/>
        <v>JUN</v>
      </c>
      <c r="CF6" s="59" t="str">
        <f t="shared" si="9"/>
        <v>2DA-MAY</v>
      </c>
      <c r="CG6" s="59" t="str">
        <f t="shared" ca="1" si="10"/>
        <v>MAYOR A 2 MESES</v>
      </c>
      <c r="CH6" s="59" t="str">
        <f t="shared" ca="1" si="11"/>
        <v>MAYOR A 2 MESES</v>
      </c>
      <c r="CI6" s="59" t="str">
        <f t="shared" ca="1" si="12"/>
        <v>DE 21 A 25 DIAS</v>
      </c>
      <c r="CJ6" s="59" t="str">
        <f t="shared" ca="1" si="13"/>
        <v>DE 21 A 25 DIAS</v>
      </c>
      <c r="CK6" s="59" t="str">
        <f t="shared" ca="1" si="14"/>
        <v>DE 21 A 25 DIAS</v>
      </c>
      <c r="CL6" s="8">
        <v>5000</v>
      </c>
      <c r="CM6" s="8">
        <v>20000</v>
      </c>
      <c r="CN6" s="8">
        <v>200000</v>
      </c>
      <c r="CO6" s="8"/>
      <c r="CP6" s="8"/>
      <c r="CQ6" s="8"/>
      <c r="CR6" s="8"/>
      <c r="CS6" s="8"/>
      <c r="CT6" s="8"/>
      <c r="CU6" s="8"/>
      <c r="CV6" s="8"/>
      <c r="CW6" s="8" t="s">
        <v>250</v>
      </c>
      <c r="CX6" s="8" t="s">
        <v>250</v>
      </c>
      <c r="CY6" s="8"/>
      <c r="CZ6" s="8"/>
      <c r="DA6" s="8"/>
      <c r="DB6" s="8"/>
      <c r="DC6" s="8"/>
      <c r="DD6" s="8"/>
      <c r="DE6" s="8"/>
      <c r="DF6" s="8"/>
      <c r="DG6" s="8">
        <f t="shared" si="43"/>
        <v>0</v>
      </c>
      <c r="DH6" s="8">
        <f t="shared" si="79"/>
        <v>220000</v>
      </c>
      <c r="DI6" s="8">
        <f t="shared" si="44"/>
        <v>0</v>
      </c>
      <c r="DJ6" s="25">
        <v>41019</v>
      </c>
      <c r="DK6" s="25">
        <v>41044</v>
      </c>
      <c r="DL6" s="8"/>
      <c r="DM6" s="8"/>
      <c r="DN6" s="8"/>
      <c r="DO6" s="8"/>
      <c r="DP6" s="8"/>
      <c r="DQ6" s="8"/>
      <c r="DR6" s="8"/>
      <c r="DS6" s="8"/>
      <c r="DT6" s="59" t="str">
        <f t="shared" si="45"/>
        <v>SEM 16</v>
      </c>
      <c r="DU6" s="59" t="str">
        <f t="shared" si="46"/>
        <v>SEM 20</v>
      </c>
      <c r="DV6" s="59" t="str">
        <f t="shared" si="47"/>
        <v>NA</v>
      </c>
      <c r="DW6" s="59" t="str">
        <f t="shared" si="48"/>
        <v>NA</v>
      </c>
      <c r="DX6" s="59" t="str">
        <f t="shared" si="49"/>
        <v>NA</v>
      </c>
      <c r="DY6" s="59" t="str">
        <f t="shared" si="50"/>
        <v>NA</v>
      </c>
      <c r="DZ6" s="59" t="str">
        <f t="shared" si="51"/>
        <v>NA</v>
      </c>
      <c r="EA6" s="59" t="str">
        <f t="shared" si="52"/>
        <v>NA</v>
      </c>
      <c r="EB6" s="59" t="str">
        <f t="shared" si="53"/>
        <v>NA</v>
      </c>
      <c r="EC6" s="59" t="str">
        <f t="shared" si="54"/>
        <v>NA</v>
      </c>
      <c r="ED6" s="59" t="str">
        <f t="shared" si="55"/>
        <v>ABR</v>
      </c>
      <c r="EE6" s="59" t="str">
        <f t="shared" si="56"/>
        <v>MAY</v>
      </c>
      <c r="EF6" s="59" t="str">
        <f t="shared" si="57"/>
        <v/>
      </c>
      <c r="EG6" s="59" t="str">
        <f t="shared" si="58"/>
        <v/>
      </c>
      <c r="EH6" s="59" t="str">
        <f t="shared" si="59"/>
        <v/>
      </c>
      <c r="EI6" s="59" t="str">
        <f t="shared" si="60"/>
        <v/>
      </c>
      <c r="EJ6" s="59" t="str">
        <f t="shared" si="61"/>
        <v/>
      </c>
      <c r="EK6" s="59" t="str">
        <f t="shared" si="62"/>
        <v/>
      </c>
      <c r="EL6" s="59" t="str">
        <f t="shared" si="63"/>
        <v/>
      </c>
      <c r="EM6" s="59" t="str">
        <f t="shared" si="64"/>
        <v/>
      </c>
      <c r="EN6" s="59">
        <f t="shared" si="65"/>
        <v>2012</v>
      </c>
      <c r="EO6" s="59">
        <f t="shared" si="66"/>
        <v>2012</v>
      </c>
      <c r="EP6" s="59" t="str">
        <f t="shared" si="67"/>
        <v/>
      </c>
      <c r="EQ6" s="59" t="str">
        <f t="shared" si="68"/>
        <v/>
      </c>
      <c r="ER6" s="59" t="str">
        <f t="shared" si="69"/>
        <v/>
      </c>
      <c r="ES6" s="59" t="str">
        <f t="shared" si="70"/>
        <v/>
      </c>
      <c r="ET6" s="59" t="str">
        <f t="shared" si="71"/>
        <v/>
      </c>
      <c r="EU6" s="59" t="str">
        <f t="shared" si="72"/>
        <v/>
      </c>
      <c r="EV6" s="59" t="str">
        <f t="shared" si="73"/>
        <v/>
      </c>
      <c r="EW6" s="59" t="str">
        <f t="shared" si="74"/>
        <v/>
      </c>
      <c r="EX6" s="56">
        <f t="shared" si="26"/>
        <v>952562.2</v>
      </c>
      <c r="EZ6" s="42" t="s">
        <v>40</v>
      </c>
      <c r="FB6" s="41" t="s">
        <v>74</v>
      </c>
      <c r="FC6" s="41" t="s">
        <v>150</v>
      </c>
      <c r="FD6" s="41" t="s">
        <v>82</v>
      </c>
      <c r="FE6" s="41" t="s">
        <v>64</v>
      </c>
    </row>
    <row r="7" spans="1:163" x14ac:dyDescent="0.25">
      <c r="A7" s="2">
        <f t="shared" si="75"/>
        <v>6</v>
      </c>
      <c r="B7" s="2" t="s">
        <v>6</v>
      </c>
      <c r="C7" s="2" t="str">
        <f t="shared" si="27"/>
        <v>020106</v>
      </c>
      <c r="D7" s="2">
        <v>2</v>
      </c>
      <c r="E7" s="3">
        <v>1</v>
      </c>
      <c r="F7" s="2">
        <v>6</v>
      </c>
      <c r="G7" s="4" t="s">
        <v>7</v>
      </c>
      <c r="H7" s="4"/>
      <c r="I7" s="42" t="s">
        <v>58</v>
      </c>
      <c r="J7" s="9">
        <v>104.95099999999999</v>
      </c>
      <c r="K7" s="9"/>
      <c r="L7" s="10" t="s">
        <v>8</v>
      </c>
      <c r="M7" s="24" t="s">
        <v>178</v>
      </c>
      <c r="N7" s="7">
        <f t="shared" si="76"/>
        <v>1229813.8</v>
      </c>
      <c r="O7" s="8">
        <v>45</v>
      </c>
      <c r="P7" s="25">
        <v>41228</v>
      </c>
      <c r="Q7" s="8" t="str">
        <f t="shared" si="28"/>
        <v>2DA-NOV</v>
      </c>
      <c r="R7" s="26">
        <v>0.1</v>
      </c>
      <c r="S7" s="41" t="s">
        <v>34</v>
      </c>
      <c r="T7" s="8" t="s">
        <v>353</v>
      </c>
      <c r="U7" s="8"/>
      <c r="V7" s="7">
        <v>614906.9</v>
      </c>
      <c r="W7" s="7">
        <f t="shared" si="80"/>
        <v>387391.34700000001</v>
      </c>
      <c r="X7" s="7">
        <f t="shared" si="29"/>
        <v>227515.55300000001</v>
      </c>
      <c r="Y7" s="7">
        <v>0</v>
      </c>
      <c r="Z7" s="7">
        <f t="shared" si="30"/>
        <v>387391.34700000001</v>
      </c>
      <c r="AA7" s="148" t="str">
        <f t="shared" si="31"/>
        <v>65%</v>
      </c>
      <c r="AB7" s="148">
        <f t="shared" si="32"/>
        <v>0.35</v>
      </c>
      <c r="AC7" s="25">
        <f ca="1">TODAY()-29</f>
        <v>41093</v>
      </c>
      <c r="AD7" s="25">
        <f t="shared" ref="AD7:AE7" ca="1" si="89">TODAY()-29</f>
        <v>41093</v>
      </c>
      <c r="AE7" s="25">
        <f t="shared" ca="1" si="89"/>
        <v>41093</v>
      </c>
      <c r="AF7" s="8"/>
      <c r="AG7" s="59" t="str">
        <f t="shared" ca="1" si="34"/>
        <v>NA</v>
      </c>
      <c r="AH7" s="55"/>
      <c r="AI7" s="55"/>
      <c r="AJ7" s="55"/>
      <c r="AK7" s="55"/>
      <c r="AL7" s="55"/>
      <c r="AM7" s="55"/>
      <c r="AN7" s="8"/>
      <c r="AO7" s="8"/>
      <c r="AP7" s="8"/>
      <c r="AQ7" s="8"/>
      <c r="AR7" s="59" t="str">
        <f t="shared" ref="AR7:AR70" si="90">IF(AF7=0,"NA","SEM "&amp;WEEKNUM(AF7))</f>
        <v>NA</v>
      </c>
      <c r="AS7" s="59" t="str">
        <f t="shared" ref="AS7:AS70" si="91">IF(AF7=0,"",IF(MONTH(AF7)=1,"ENE","")&amp;IF(MONTH(AF7)=2,"FEB","")&amp;IF(MONTH(AF7)=3,"MAR","")&amp;IF(MONTH(AF7)=4,"ABR","")&amp;IF(MONTH(AF7)=5,"MAY","")&amp;IF(MONTH(AF7)=6,"JUN","")&amp;IF(MONTH(AF7)=7,"JUL","")&amp;IF(MONTH(AF7)=8,"AGO","")&amp;IF(MONTH(AF7)=9,"SEP","")&amp;IF(MONTH(AF7)=10,"OCT","")&amp;IF(MONTH(AF7)=11,"NOV","")&amp;IF(MONTH(AF7)=12,"DIC",""))</f>
        <v/>
      </c>
      <c r="AT7" s="59"/>
      <c r="AU7" s="59" t="str">
        <f t="shared" si="1"/>
        <v>ND</v>
      </c>
      <c r="AV7" s="66" t="s">
        <v>73</v>
      </c>
      <c r="AW7" s="66" t="s">
        <v>38</v>
      </c>
      <c r="AX7" s="66" t="s">
        <v>82</v>
      </c>
      <c r="AY7" s="66" t="s">
        <v>173</v>
      </c>
      <c r="AZ7" s="25">
        <v>41049</v>
      </c>
      <c r="BA7" s="8" t="s">
        <v>390</v>
      </c>
      <c r="BB7" s="25">
        <v>41059</v>
      </c>
      <c r="BC7" s="25">
        <v>41197</v>
      </c>
      <c r="BD7" s="8"/>
      <c r="BE7" s="8"/>
      <c r="BF7" s="8"/>
      <c r="BG7" s="8"/>
      <c r="BH7" s="8"/>
      <c r="BI7" s="8"/>
      <c r="BJ7" s="8"/>
      <c r="BK7" s="59" t="s">
        <v>371</v>
      </c>
      <c r="BL7" s="59" t="s">
        <v>378</v>
      </c>
      <c r="BM7" s="59" t="s">
        <v>378</v>
      </c>
      <c r="BN7" s="164">
        <v>0.01</v>
      </c>
      <c r="BO7" s="165">
        <f t="shared" si="37"/>
        <v>4099.3793333333333</v>
      </c>
      <c r="BP7" s="165">
        <f t="shared" ref="BP7:BQ7" si="92">BO7</f>
        <v>4099.3793333333333</v>
      </c>
      <c r="BQ7" s="165">
        <f t="shared" si="92"/>
        <v>4099.3793333333333</v>
      </c>
      <c r="BR7" s="162">
        <v>41075</v>
      </c>
      <c r="BS7" s="59"/>
      <c r="BT7" s="59"/>
      <c r="BU7" s="59"/>
      <c r="BV7" s="59" t="str">
        <f t="shared" si="83"/>
        <v>2DA-JUN-2012</v>
      </c>
      <c r="BW7" s="59" t="str">
        <f t="shared" si="84"/>
        <v>ND</v>
      </c>
      <c r="BX7" s="59" t="str">
        <f t="shared" si="85"/>
        <v>ND</v>
      </c>
      <c r="BY7" s="59" t="str">
        <f t="shared" si="86"/>
        <v>ND</v>
      </c>
      <c r="BZ7" s="59" t="str">
        <f t="shared" si="3"/>
        <v>SEM 21</v>
      </c>
      <c r="CA7" s="59" t="str">
        <f t="shared" si="4"/>
        <v>MAY</v>
      </c>
      <c r="CB7" s="59" t="str">
        <f t="shared" si="5"/>
        <v>NA</v>
      </c>
      <c r="CC7" s="59" t="str">
        <f t="shared" si="6"/>
        <v/>
      </c>
      <c r="CD7" s="59" t="str">
        <f t="shared" si="7"/>
        <v>NA</v>
      </c>
      <c r="CE7" s="59" t="str">
        <f t="shared" si="8"/>
        <v/>
      </c>
      <c r="CF7" s="59" t="str">
        <f t="shared" si="9"/>
        <v>1RA-OCT</v>
      </c>
      <c r="CG7" s="59" t="str">
        <f t="shared" ca="1" si="10"/>
        <v>MAYOR A 2 MESES</v>
      </c>
      <c r="CH7" s="59" t="str">
        <f t="shared" ca="1" si="11"/>
        <v>NA</v>
      </c>
      <c r="CI7" s="59" t="str">
        <f t="shared" ca="1" si="12"/>
        <v>DE 26 A 29 DIAS</v>
      </c>
      <c r="CJ7" s="59" t="str">
        <f t="shared" ca="1" si="13"/>
        <v>DE 26 A 29 DIAS</v>
      </c>
      <c r="CK7" s="59" t="str">
        <f t="shared" ca="1" si="14"/>
        <v>DE 26 A 29 DIAS</v>
      </c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>
        <f t="shared" si="43"/>
        <v>0</v>
      </c>
      <c r="DH7" s="8">
        <f t="shared" si="79"/>
        <v>0</v>
      </c>
      <c r="DI7" s="8">
        <f t="shared" si="44"/>
        <v>0</v>
      </c>
      <c r="DJ7" s="8"/>
      <c r="DK7" s="8"/>
      <c r="DL7" s="8"/>
      <c r="DM7" s="8"/>
      <c r="DN7" s="8"/>
      <c r="DO7" s="8"/>
      <c r="DP7" s="8"/>
      <c r="DQ7" s="8"/>
      <c r="DR7" s="8"/>
      <c r="DS7" s="8"/>
      <c r="DT7" s="59" t="str">
        <f t="shared" si="45"/>
        <v>NA</v>
      </c>
      <c r="DU7" s="59" t="str">
        <f t="shared" si="46"/>
        <v>NA</v>
      </c>
      <c r="DV7" s="59" t="str">
        <f t="shared" si="47"/>
        <v>NA</v>
      </c>
      <c r="DW7" s="59" t="str">
        <f t="shared" si="48"/>
        <v>NA</v>
      </c>
      <c r="DX7" s="59" t="str">
        <f t="shared" si="49"/>
        <v>NA</v>
      </c>
      <c r="DY7" s="59" t="str">
        <f t="shared" si="50"/>
        <v>NA</v>
      </c>
      <c r="DZ7" s="59" t="str">
        <f t="shared" si="51"/>
        <v>NA</v>
      </c>
      <c r="EA7" s="59" t="str">
        <f t="shared" si="52"/>
        <v>NA</v>
      </c>
      <c r="EB7" s="59" t="str">
        <f t="shared" si="53"/>
        <v>NA</v>
      </c>
      <c r="EC7" s="59" t="str">
        <f t="shared" si="54"/>
        <v>NA</v>
      </c>
      <c r="ED7" s="59" t="str">
        <f t="shared" si="55"/>
        <v/>
      </c>
      <c r="EE7" s="59" t="str">
        <f t="shared" si="56"/>
        <v/>
      </c>
      <c r="EF7" s="59" t="str">
        <f t="shared" si="57"/>
        <v/>
      </c>
      <c r="EG7" s="59" t="str">
        <f t="shared" si="58"/>
        <v/>
      </c>
      <c r="EH7" s="59" t="str">
        <f t="shared" si="59"/>
        <v/>
      </c>
      <c r="EI7" s="59" t="str">
        <f t="shared" si="60"/>
        <v/>
      </c>
      <c r="EJ7" s="59" t="str">
        <f t="shared" si="61"/>
        <v/>
      </c>
      <c r="EK7" s="59" t="str">
        <f t="shared" si="62"/>
        <v/>
      </c>
      <c r="EL7" s="59" t="str">
        <f t="shared" si="63"/>
        <v/>
      </c>
      <c r="EM7" s="59" t="str">
        <f t="shared" si="64"/>
        <v/>
      </c>
      <c r="EN7" s="59" t="str">
        <f t="shared" si="65"/>
        <v/>
      </c>
      <c r="EO7" s="59" t="str">
        <f t="shared" si="66"/>
        <v/>
      </c>
      <c r="EP7" s="59" t="str">
        <f t="shared" si="67"/>
        <v/>
      </c>
      <c r="EQ7" s="59" t="str">
        <f t="shared" si="68"/>
        <v/>
      </c>
      <c r="ER7" s="59" t="str">
        <f t="shared" si="69"/>
        <v/>
      </c>
      <c r="ES7" s="59" t="str">
        <f t="shared" si="70"/>
        <v/>
      </c>
      <c r="ET7" s="59" t="str">
        <f t="shared" si="71"/>
        <v/>
      </c>
      <c r="EU7" s="59" t="str">
        <f t="shared" si="72"/>
        <v/>
      </c>
      <c r="EV7" s="59" t="str">
        <f t="shared" si="73"/>
        <v/>
      </c>
      <c r="EW7" s="59" t="str">
        <f t="shared" si="74"/>
        <v/>
      </c>
      <c r="EX7" s="56">
        <f t="shared" si="26"/>
        <v>1229813.8</v>
      </c>
      <c r="FB7" s="41" t="s">
        <v>147</v>
      </c>
      <c r="FD7" s="41" t="s">
        <v>83</v>
      </c>
      <c r="FE7" s="41" t="s">
        <v>36</v>
      </c>
    </row>
    <row r="8" spans="1:163" x14ac:dyDescent="0.25">
      <c r="A8" s="2">
        <f t="shared" si="75"/>
        <v>7</v>
      </c>
      <c r="B8" s="2" t="s">
        <v>6</v>
      </c>
      <c r="C8" s="2" t="str">
        <f t="shared" si="27"/>
        <v>020201</v>
      </c>
      <c r="D8" s="2">
        <v>2</v>
      </c>
      <c r="E8" s="2">
        <v>2</v>
      </c>
      <c r="F8" s="2">
        <v>1</v>
      </c>
      <c r="G8" s="11" t="s">
        <v>9</v>
      </c>
      <c r="H8" s="4"/>
      <c r="I8" s="42" t="s">
        <v>58</v>
      </c>
      <c r="J8" s="9">
        <v>83.653999999999996</v>
      </c>
      <c r="K8" s="9"/>
      <c r="L8" s="10" t="s">
        <v>8</v>
      </c>
      <c r="M8" s="24" t="s">
        <v>178</v>
      </c>
      <c r="N8" s="7">
        <f t="shared" si="76"/>
        <v>1148885.2</v>
      </c>
      <c r="O8" s="8">
        <v>46</v>
      </c>
      <c r="P8" s="25">
        <v>41228</v>
      </c>
      <c r="Q8" s="8" t="str">
        <f t="shared" si="28"/>
        <v>2DA-NOV</v>
      </c>
      <c r="R8" s="26">
        <v>0.1</v>
      </c>
      <c r="S8" s="41" t="s">
        <v>34</v>
      </c>
      <c r="T8" s="8" t="s">
        <v>353</v>
      </c>
      <c r="U8" s="8"/>
      <c r="V8" s="7">
        <v>574442.6</v>
      </c>
      <c r="W8" s="7">
        <f t="shared" si="80"/>
        <v>361898.83799999999</v>
      </c>
      <c r="X8" s="7">
        <f t="shared" si="29"/>
        <v>212543.76199999999</v>
      </c>
      <c r="Y8" s="7">
        <v>0</v>
      </c>
      <c r="Z8" s="7">
        <f t="shared" si="30"/>
        <v>361898.83799999999</v>
      </c>
      <c r="AA8" s="148" t="str">
        <f t="shared" si="31"/>
        <v>65%</v>
      </c>
      <c r="AB8" s="148">
        <f t="shared" si="32"/>
        <v>0.35</v>
      </c>
      <c r="AC8" s="25">
        <f ca="1">TODAY()-30</f>
        <v>41092</v>
      </c>
      <c r="AD8" s="25">
        <f t="shared" ref="AD8:AE8" ca="1" si="93">TODAY()-30</f>
        <v>41092</v>
      </c>
      <c r="AE8" s="25">
        <f t="shared" ca="1" si="93"/>
        <v>41092</v>
      </c>
      <c r="AF8" s="8"/>
      <c r="AG8" s="59" t="str">
        <f t="shared" ca="1" si="34"/>
        <v>NA</v>
      </c>
      <c r="AH8" s="55"/>
      <c r="AI8" s="55"/>
      <c r="AJ8" s="55"/>
      <c r="AK8" s="55"/>
      <c r="AL8" s="55"/>
      <c r="AM8" s="55"/>
      <c r="AN8" s="8"/>
      <c r="AO8" s="8"/>
      <c r="AP8" s="8"/>
      <c r="AQ8" s="8"/>
      <c r="AR8" s="59" t="str">
        <f t="shared" si="90"/>
        <v>NA</v>
      </c>
      <c r="AS8" s="59" t="str">
        <f t="shared" si="91"/>
        <v/>
      </c>
      <c r="AT8" s="59"/>
      <c r="AU8" s="59" t="str">
        <f t="shared" si="1"/>
        <v>ND</v>
      </c>
      <c r="AV8" s="66" t="s">
        <v>73</v>
      </c>
      <c r="AW8" s="66" t="s">
        <v>38</v>
      </c>
      <c r="AX8" s="66" t="s">
        <v>82</v>
      </c>
      <c r="AY8" s="66" t="s">
        <v>174</v>
      </c>
      <c r="AZ8" s="25">
        <v>41075</v>
      </c>
      <c r="BA8" s="8" t="s">
        <v>62</v>
      </c>
      <c r="BB8" s="25">
        <v>41080</v>
      </c>
      <c r="BC8" s="25">
        <v>41197</v>
      </c>
      <c r="BD8" s="8"/>
      <c r="BE8" s="8"/>
      <c r="BF8" s="8"/>
      <c r="BG8" s="8"/>
      <c r="BH8" s="8"/>
      <c r="BI8" s="8"/>
      <c r="BJ8" s="8"/>
      <c r="BK8" s="59" t="s">
        <v>371</v>
      </c>
      <c r="BL8" s="59" t="s">
        <v>378</v>
      </c>
      <c r="BM8" s="59" t="s">
        <v>378</v>
      </c>
      <c r="BN8" s="164">
        <v>0.01</v>
      </c>
      <c r="BO8" s="165">
        <f t="shared" si="37"/>
        <v>3829.6173333333331</v>
      </c>
      <c r="BP8" s="165">
        <f t="shared" ref="BP8:BQ8" si="94">BO8</f>
        <v>3829.6173333333331</v>
      </c>
      <c r="BQ8" s="165">
        <f t="shared" si="94"/>
        <v>3829.6173333333331</v>
      </c>
      <c r="BR8" s="162">
        <v>41090</v>
      </c>
      <c r="BS8" s="59"/>
      <c r="BT8" s="59"/>
      <c r="BU8" s="59"/>
      <c r="BV8" s="59" t="str">
        <f t="shared" si="83"/>
        <v>2DA-JUN-2012</v>
      </c>
      <c r="BW8" s="59" t="str">
        <f t="shared" si="84"/>
        <v>ND</v>
      </c>
      <c r="BX8" s="59" t="str">
        <f t="shared" si="85"/>
        <v>ND</v>
      </c>
      <c r="BY8" s="59" t="str">
        <f t="shared" si="86"/>
        <v>ND</v>
      </c>
      <c r="BZ8" s="59" t="str">
        <f t="shared" si="3"/>
        <v>SEM 24</v>
      </c>
      <c r="CA8" s="59" t="str">
        <f t="shared" si="4"/>
        <v>JUN</v>
      </c>
      <c r="CB8" s="59" t="str">
        <f t="shared" si="5"/>
        <v>NA</v>
      </c>
      <c r="CC8" s="59" t="str">
        <f t="shared" si="6"/>
        <v/>
      </c>
      <c r="CD8" s="59" t="str">
        <f t="shared" si="7"/>
        <v>NA</v>
      </c>
      <c r="CE8" s="59" t="str">
        <f t="shared" si="8"/>
        <v/>
      </c>
      <c r="CF8" s="59" t="str">
        <f t="shared" si="9"/>
        <v>1RA-OCT</v>
      </c>
      <c r="CG8" s="59" t="str">
        <f t="shared" ca="1" si="10"/>
        <v>7MA SEM</v>
      </c>
      <c r="CH8" s="59" t="str">
        <f t="shared" ca="1" si="11"/>
        <v>NA</v>
      </c>
      <c r="CI8" s="59" t="str">
        <f t="shared" ca="1" si="12"/>
        <v>30 DIAS</v>
      </c>
      <c r="CJ8" s="59" t="str">
        <f t="shared" ca="1" si="13"/>
        <v>30 DIAS</v>
      </c>
      <c r="CK8" s="59" t="str">
        <f t="shared" ca="1" si="14"/>
        <v>30 DIAS</v>
      </c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>
        <f t="shared" si="43"/>
        <v>0</v>
      </c>
      <c r="DH8" s="8">
        <f t="shared" si="79"/>
        <v>0</v>
      </c>
      <c r="DI8" s="8">
        <f t="shared" si="44"/>
        <v>0</v>
      </c>
      <c r="DJ8" s="8"/>
      <c r="DK8" s="8"/>
      <c r="DL8" s="8"/>
      <c r="DM8" s="8"/>
      <c r="DN8" s="8"/>
      <c r="DO8" s="8"/>
      <c r="DP8" s="8"/>
      <c r="DQ8" s="8"/>
      <c r="DR8" s="8"/>
      <c r="DS8" s="8"/>
      <c r="DT8" s="59" t="str">
        <f t="shared" si="45"/>
        <v>NA</v>
      </c>
      <c r="DU8" s="59" t="str">
        <f t="shared" si="46"/>
        <v>NA</v>
      </c>
      <c r="DV8" s="59" t="str">
        <f t="shared" si="47"/>
        <v>NA</v>
      </c>
      <c r="DW8" s="59" t="str">
        <f t="shared" si="48"/>
        <v>NA</v>
      </c>
      <c r="DX8" s="59" t="str">
        <f t="shared" si="49"/>
        <v>NA</v>
      </c>
      <c r="DY8" s="59" t="str">
        <f t="shared" si="50"/>
        <v>NA</v>
      </c>
      <c r="DZ8" s="59" t="str">
        <f t="shared" si="51"/>
        <v>NA</v>
      </c>
      <c r="EA8" s="59" t="str">
        <f t="shared" si="52"/>
        <v>NA</v>
      </c>
      <c r="EB8" s="59" t="str">
        <f t="shared" si="53"/>
        <v>NA</v>
      </c>
      <c r="EC8" s="59" t="str">
        <f t="shared" si="54"/>
        <v>NA</v>
      </c>
      <c r="ED8" s="59" t="str">
        <f t="shared" si="55"/>
        <v/>
      </c>
      <c r="EE8" s="59" t="str">
        <f t="shared" si="56"/>
        <v/>
      </c>
      <c r="EF8" s="59" t="str">
        <f t="shared" si="57"/>
        <v/>
      </c>
      <c r="EG8" s="59" t="str">
        <f t="shared" si="58"/>
        <v/>
      </c>
      <c r="EH8" s="59" t="str">
        <f t="shared" si="59"/>
        <v/>
      </c>
      <c r="EI8" s="59" t="str">
        <f t="shared" si="60"/>
        <v/>
      </c>
      <c r="EJ8" s="59" t="str">
        <f t="shared" si="61"/>
        <v/>
      </c>
      <c r="EK8" s="59" t="str">
        <f t="shared" si="62"/>
        <v/>
      </c>
      <c r="EL8" s="59" t="str">
        <f t="shared" si="63"/>
        <v/>
      </c>
      <c r="EM8" s="59" t="str">
        <f t="shared" si="64"/>
        <v/>
      </c>
      <c r="EN8" s="59" t="str">
        <f t="shared" si="65"/>
        <v/>
      </c>
      <c r="EO8" s="59" t="str">
        <f t="shared" si="66"/>
        <v/>
      </c>
      <c r="EP8" s="59" t="str">
        <f t="shared" si="67"/>
        <v/>
      </c>
      <c r="EQ8" s="59" t="str">
        <f t="shared" si="68"/>
        <v/>
      </c>
      <c r="ER8" s="59" t="str">
        <f t="shared" si="69"/>
        <v/>
      </c>
      <c r="ES8" s="59" t="str">
        <f t="shared" si="70"/>
        <v/>
      </c>
      <c r="ET8" s="59" t="str">
        <f t="shared" si="71"/>
        <v/>
      </c>
      <c r="EU8" s="59" t="str">
        <f t="shared" si="72"/>
        <v/>
      </c>
      <c r="EV8" s="59" t="str">
        <f t="shared" si="73"/>
        <v/>
      </c>
      <c r="EW8" s="59" t="str">
        <f t="shared" si="74"/>
        <v/>
      </c>
      <c r="EX8" s="56">
        <f t="shared" si="26"/>
        <v>1148885.2</v>
      </c>
      <c r="FB8" s="41" t="s">
        <v>148</v>
      </c>
      <c r="FD8" s="41" t="s">
        <v>84</v>
      </c>
      <c r="FE8" s="41" t="s">
        <v>65</v>
      </c>
    </row>
    <row r="9" spans="1:163" x14ac:dyDescent="0.25">
      <c r="A9" s="2">
        <f t="shared" si="75"/>
        <v>8</v>
      </c>
      <c r="B9" s="2" t="s">
        <v>6</v>
      </c>
      <c r="C9" s="2" t="str">
        <f t="shared" si="27"/>
        <v>020202</v>
      </c>
      <c r="D9" s="2">
        <v>2</v>
      </c>
      <c r="E9" s="2">
        <v>2</v>
      </c>
      <c r="F9" s="2">
        <v>2</v>
      </c>
      <c r="G9" s="11" t="s">
        <v>9</v>
      </c>
      <c r="H9" s="4"/>
      <c r="I9" s="42" t="s">
        <v>58</v>
      </c>
      <c r="J9" s="9">
        <v>80</v>
      </c>
      <c r="K9" s="5"/>
      <c r="L9" s="6" t="s">
        <v>306</v>
      </c>
      <c r="M9" s="24" t="s">
        <v>178</v>
      </c>
      <c r="N9" s="7">
        <f t="shared" si="76"/>
        <v>1126000</v>
      </c>
      <c r="O9" s="8">
        <v>47</v>
      </c>
      <c r="P9" s="25">
        <v>41228</v>
      </c>
      <c r="Q9" s="8" t="str">
        <f t="shared" si="28"/>
        <v>2DA-NOV</v>
      </c>
      <c r="R9" s="26">
        <v>0.1</v>
      </c>
      <c r="S9" s="41" t="s">
        <v>34</v>
      </c>
      <c r="T9" s="8" t="s">
        <v>353</v>
      </c>
      <c r="U9" s="8"/>
      <c r="V9" s="7">
        <v>563000</v>
      </c>
      <c r="W9" s="7">
        <f t="shared" si="80"/>
        <v>354690</v>
      </c>
      <c r="X9" s="7">
        <f t="shared" si="29"/>
        <v>208310</v>
      </c>
      <c r="Y9" s="7">
        <v>0</v>
      </c>
      <c r="Z9" s="7">
        <f t="shared" si="30"/>
        <v>354690</v>
      </c>
      <c r="AA9" s="148" t="str">
        <f t="shared" si="31"/>
        <v>65%</v>
      </c>
      <c r="AB9" s="148">
        <f t="shared" si="32"/>
        <v>0.35</v>
      </c>
      <c r="AC9" s="25">
        <f ca="1">TODAY()-34</f>
        <v>41088</v>
      </c>
      <c r="AD9" s="25">
        <f t="shared" ref="AD9:AE9" ca="1" si="95">TODAY()-34</f>
        <v>41088</v>
      </c>
      <c r="AE9" s="25">
        <f t="shared" ca="1" si="95"/>
        <v>41088</v>
      </c>
      <c r="AF9" s="8"/>
      <c r="AG9" s="59" t="str">
        <f t="shared" ca="1" si="34"/>
        <v>NA</v>
      </c>
      <c r="AH9" s="55"/>
      <c r="AI9" s="55"/>
      <c r="AJ9" s="55"/>
      <c r="AK9" s="55"/>
      <c r="AL9" s="55"/>
      <c r="AM9" s="55"/>
      <c r="AN9" s="8"/>
      <c r="AO9" s="8"/>
      <c r="AP9" s="8"/>
      <c r="AQ9" s="8"/>
      <c r="AR9" s="59" t="str">
        <f t="shared" si="90"/>
        <v>NA</v>
      </c>
      <c r="AS9" s="59" t="str">
        <f t="shared" si="91"/>
        <v/>
      </c>
      <c r="AT9" s="59"/>
      <c r="AU9" s="59" t="str">
        <f t="shared" si="1"/>
        <v>ND</v>
      </c>
      <c r="AV9" s="66" t="s">
        <v>73</v>
      </c>
      <c r="AW9" s="66" t="s">
        <v>38</v>
      </c>
      <c r="AX9" s="66" t="s">
        <v>82</v>
      </c>
      <c r="AY9" s="66" t="s">
        <v>171</v>
      </c>
      <c r="AZ9" s="25">
        <v>41049</v>
      </c>
      <c r="BA9" s="8" t="s">
        <v>62</v>
      </c>
      <c r="BB9" s="25">
        <v>41054</v>
      </c>
      <c r="BC9" s="25">
        <v>41197</v>
      </c>
      <c r="BD9" s="8"/>
      <c r="BE9" s="8"/>
      <c r="BF9" s="8"/>
      <c r="BG9" s="8"/>
      <c r="BH9" s="8"/>
      <c r="BI9" s="8"/>
      <c r="BJ9" s="8"/>
      <c r="BK9" s="59" t="s">
        <v>373</v>
      </c>
      <c r="BL9" s="59" t="s">
        <v>378</v>
      </c>
      <c r="BM9" s="59" t="s">
        <v>378</v>
      </c>
      <c r="BN9" s="164">
        <v>0.01</v>
      </c>
      <c r="BO9" s="165">
        <f t="shared" si="37"/>
        <v>3753.3333333333335</v>
      </c>
      <c r="BP9" s="165">
        <f t="shared" ref="BP9:BQ9" si="96">BO9</f>
        <v>3753.3333333333335</v>
      </c>
      <c r="BQ9" s="165">
        <f t="shared" si="96"/>
        <v>3753.3333333333335</v>
      </c>
      <c r="BR9" s="162">
        <v>41059</v>
      </c>
      <c r="BS9" s="59"/>
      <c r="BT9" s="59"/>
      <c r="BU9" s="59"/>
      <c r="BV9" s="59" t="str">
        <f t="shared" si="83"/>
        <v>2DA-MAY-2012</v>
      </c>
      <c r="BW9" s="59" t="str">
        <f t="shared" si="84"/>
        <v>ND</v>
      </c>
      <c r="BX9" s="59" t="str">
        <f t="shared" si="85"/>
        <v>ND</v>
      </c>
      <c r="BY9" s="59" t="str">
        <f t="shared" si="86"/>
        <v>ND</v>
      </c>
      <c r="BZ9" s="59" t="str">
        <f t="shared" si="3"/>
        <v>SEM 21</v>
      </c>
      <c r="CA9" s="59" t="str">
        <f t="shared" si="4"/>
        <v>MAY</v>
      </c>
      <c r="CB9" s="59" t="str">
        <f t="shared" si="5"/>
        <v>NA</v>
      </c>
      <c r="CC9" s="59" t="str">
        <f t="shared" si="6"/>
        <v/>
      </c>
      <c r="CD9" s="59" t="str">
        <f t="shared" si="7"/>
        <v>NA</v>
      </c>
      <c r="CE9" s="59" t="str">
        <f t="shared" si="8"/>
        <v/>
      </c>
      <c r="CF9" s="59" t="str">
        <f t="shared" si="9"/>
        <v>1RA-OCT</v>
      </c>
      <c r="CG9" s="59" t="str">
        <f t="shared" ca="1" si="10"/>
        <v>MAYOR A 2 MESES</v>
      </c>
      <c r="CH9" s="59" t="str">
        <f t="shared" ca="1" si="11"/>
        <v>NA</v>
      </c>
      <c r="CI9" s="59" t="str">
        <f t="shared" ca="1" si="12"/>
        <v>DE 31 A 35 DIAS</v>
      </c>
      <c r="CJ9" s="59" t="str">
        <f t="shared" ca="1" si="13"/>
        <v>DE 31 A 35 DIAS</v>
      </c>
      <c r="CK9" s="59" t="str">
        <f t="shared" ca="1" si="14"/>
        <v>DE 31 A 35 DIAS</v>
      </c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>
        <f t="shared" si="43"/>
        <v>0</v>
      </c>
      <c r="DH9" s="8">
        <f t="shared" si="79"/>
        <v>0</v>
      </c>
      <c r="DI9" s="8">
        <f t="shared" si="44"/>
        <v>0</v>
      </c>
      <c r="DJ9" s="8"/>
      <c r="DK9" s="8"/>
      <c r="DL9" s="8"/>
      <c r="DM9" s="8"/>
      <c r="DN9" s="8"/>
      <c r="DO9" s="8"/>
      <c r="DP9" s="8"/>
      <c r="DQ9" s="8"/>
      <c r="DR9" s="8"/>
      <c r="DS9" s="8"/>
      <c r="DT9" s="59" t="str">
        <f t="shared" si="45"/>
        <v>NA</v>
      </c>
      <c r="DU9" s="59" t="str">
        <f t="shared" si="46"/>
        <v>NA</v>
      </c>
      <c r="DV9" s="59" t="str">
        <f t="shared" si="47"/>
        <v>NA</v>
      </c>
      <c r="DW9" s="59" t="str">
        <f t="shared" si="48"/>
        <v>NA</v>
      </c>
      <c r="DX9" s="59" t="str">
        <f t="shared" si="49"/>
        <v>NA</v>
      </c>
      <c r="DY9" s="59" t="str">
        <f t="shared" si="50"/>
        <v>NA</v>
      </c>
      <c r="DZ9" s="59" t="str">
        <f t="shared" si="51"/>
        <v>NA</v>
      </c>
      <c r="EA9" s="59" t="str">
        <f t="shared" si="52"/>
        <v>NA</v>
      </c>
      <c r="EB9" s="59" t="str">
        <f t="shared" si="53"/>
        <v>NA</v>
      </c>
      <c r="EC9" s="59" t="str">
        <f t="shared" si="54"/>
        <v>NA</v>
      </c>
      <c r="ED9" s="59" t="str">
        <f t="shared" si="55"/>
        <v/>
      </c>
      <c r="EE9" s="59" t="str">
        <f t="shared" si="56"/>
        <v/>
      </c>
      <c r="EF9" s="59" t="str">
        <f t="shared" si="57"/>
        <v/>
      </c>
      <c r="EG9" s="59" t="str">
        <f t="shared" si="58"/>
        <v/>
      </c>
      <c r="EH9" s="59" t="str">
        <f t="shared" si="59"/>
        <v/>
      </c>
      <c r="EI9" s="59" t="str">
        <f t="shared" si="60"/>
        <v/>
      </c>
      <c r="EJ9" s="59" t="str">
        <f t="shared" si="61"/>
        <v/>
      </c>
      <c r="EK9" s="59" t="str">
        <f t="shared" si="62"/>
        <v/>
      </c>
      <c r="EL9" s="59" t="str">
        <f t="shared" si="63"/>
        <v/>
      </c>
      <c r="EM9" s="59" t="str">
        <f t="shared" si="64"/>
        <v/>
      </c>
      <c r="EN9" s="59" t="str">
        <f t="shared" si="65"/>
        <v/>
      </c>
      <c r="EO9" s="59" t="str">
        <f t="shared" si="66"/>
        <v/>
      </c>
      <c r="EP9" s="59" t="str">
        <f t="shared" si="67"/>
        <v/>
      </c>
      <c r="EQ9" s="59" t="str">
        <f t="shared" si="68"/>
        <v/>
      </c>
      <c r="ER9" s="59" t="str">
        <f t="shared" si="69"/>
        <v/>
      </c>
      <c r="ES9" s="59" t="str">
        <f t="shared" si="70"/>
        <v/>
      </c>
      <c r="ET9" s="59" t="str">
        <f t="shared" si="71"/>
        <v/>
      </c>
      <c r="EU9" s="59" t="str">
        <f t="shared" si="72"/>
        <v/>
      </c>
      <c r="EV9" s="59" t="str">
        <f t="shared" si="73"/>
        <v/>
      </c>
      <c r="EW9" s="59" t="str">
        <f t="shared" si="74"/>
        <v/>
      </c>
      <c r="EX9" s="56">
        <f t="shared" si="26"/>
        <v>1126000</v>
      </c>
      <c r="FB9" s="41" t="s">
        <v>75</v>
      </c>
      <c r="FE9" s="41" t="s">
        <v>66</v>
      </c>
    </row>
    <row r="10" spans="1:163" x14ac:dyDescent="0.25">
      <c r="A10" s="2">
        <f t="shared" si="75"/>
        <v>9</v>
      </c>
      <c r="B10" s="2" t="s">
        <v>6</v>
      </c>
      <c r="C10" s="2" t="str">
        <f t="shared" si="27"/>
        <v>020203</v>
      </c>
      <c r="D10" s="2">
        <v>2</v>
      </c>
      <c r="E10" s="2">
        <v>2</v>
      </c>
      <c r="F10" s="2">
        <v>3</v>
      </c>
      <c r="G10" s="11" t="s">
        <v>9</v>
      </c>
      <c r="H10" s="4"/>
      <c r="I10" s="42" t="s">
        <v>58</v>
      </c>
      <c r="J10" s="9">
        <v>80</v>
      </c>
      <c r="K10" s="5"/>
      <c r="L10" s="6" t="s">
        <v>306</v>
      </c>
      <c r="M10" s="24" t="s">
        <v>178</v>
      </c>
      <c r="N10" s="7">
        <f t="shared" si="76"/>
        <v>1126000</v>
      </c>
      <c r="O10" s="8">
        <v>48</v>
      </c>
      <c r="P10" s="25">
        <v>41228</v>
      </c>
      <c r="Q10" s="8" t="str">
        <f t="shared" si="28"/>
        <v>2DA-NOV</v>
      </c>
      <c r="R10" s="26">
        <v>0.1</v>
      </c>
      <c r="S10" s="41" t="s">
        <v>34</v>
      </c>
      <c r="T10" s="8" t="s">
        <v>353</v>
      </c>
      <c r="U10" s="8"/>
      <c r="V10" s="7">
        <v>563000</v>
      </c>
      <c r="W10" s="7">
        <f t="shared" si="80"/>
        <v>354690</v>
      </c>
      <c r="X10" s="7">
        <f t="shared" si="29"/>
        <v>208310</v>
      </c>
      <c r="Y10" s="7">
        <v>0</v>
      </c>
      <c r="Z10" s="7">
        <f t="shared" si="30"/>
        <v>354690</v>
      </c>
      <c r="AA10" s="148" t="str">
        <f t="shared" si="31"/>
        <v>65%</v>
      </c>
      <c r="AB10" s="148">
        <f t="shared" si="32"/>
        <v>0.35</v>
      </c>
      <c r="AC10" s="25">
        <f ca="1">TODAY()-39</f>
        <v>41083</v>
      </c>
      <c r="AD10" s="25">
        <f t="shared" ref="AD10:AE10" ca="1" si="97">TODAY()-39</f>
        <v>41083</v>
      </c>
      <c r="AE10" s="25">
        <f t="shared" ca="1" si="97"/>
        <v>41083</v>
      </c>
      <c r="AF10" s="8"/>
      <c r="AG10" s="59" t="str">
        <f t="shared" ca="1" si="34"/>
        <v>NA</v>
      </c>
      <c r="AH10" s="55"/>
      <c r="AI10" s="55"/>
      <c r="AJ10" s="55"/>
      <c r="AK10" s="55"/>
      <c r="AL10" s="55"/>
      <c r="AM10" s="55"/>
      <c r="AN10" s="8"/>
      <c r="AO10" s="8"/>
      <c r="AP10" s="8"/>
      <c r="AQ10" s="8"/>
      <c r="AR10" s="59" t="str">
        <f t="shared" si="90"/>
        <v>NA</v>
      </c>
      <c r="AS10" s="59" t="str">
        <f t="shared" si="91"/>
        <v/>
      </c>
      <c r="AT10" s="59"/>
      <c r="AU10" s="59" t="str">
        <f t="shared" si="1"/>
        <v>ND</v>
      </c>
      <c r="AV10" s="66" t="s">
        <v>73</v>
      </c>
      <c r="AW10" s="66" t="s">
        <v>38</v>
      </c>
      <c r="AX10" s="66" t="s">
        <v>82</v>
      </c>
      <c r="AY10" s="66" t="s">
        <v>171</v>
      </c>
      <c r="AZ10" s="25">
        <v>41104</v>
      </c>
      <c r="BA10" s="8" t="s">
        <v>62</v>
      </c>
      <c r="BB10" s="25">
        <v>41106</v>
      </c>
      <c r="BC10" s="25">
        <v>41197</v>
      </c>
      <c r="BD10" s="8"/>
      <c r="BE10" s="8"/>
      <c r="BF10" s="8"/>
      <c r="BG10" s="8"/>
      <c r="BH10" s="8"/>
      <c r="BI10" s="8"/>
      <c r="BJ10" s="8"/>
      <c r="BK10" s="59" t="s">
        <v>378</v>
      </c>
      <c r="BL10" s="59" t="s">
        <v>378</v>
      </c>
      <c r="BM10" s="59" t="s">
        <v>378</v>
      </c>
      <c r="BN10" s="164">
        <v>0.01</v>
      </c>
      <c r="BO10" s="165">
        <f t="shared" si="37"/>
        <v>3753.3333333333335</v>
      </c>
      <c r="BP10" s="165">
        <f t="shared" ref="BP10:BQ10" si="98">BO10</f>
        <v>3753.3333333333335</v>
      </c>
      <c r="BQ10" s="165">
        <f t="shared" si="98"/>
        <v>3753.3333333333335</v>
      </c>
      <c r="BR10" s="162">
        <v>41105</v>
      </c>
      <c r="BS10" s="59"/>
      <c r="BT10" s="59"/>
      <c r="BU10" s="59"/>
      <c r="BV10" s="59" t="str">
        <f t="shared" si="83"/>
        <v>2DA-JUL-2012</v>
      </c>
      <c r="BW10" s="59" t="str">
        <f t="shared" si="84"/>
        <v>ND</v>
      </c>
      <c r="BX10" s="59" t="str">
        <f t="shared" si="85"/>
        <v>ND</v>
      </c>
      <c r="BY10" s="59" t="str">
        <f t="shared" si="86"/>
        <v>ND</v>
      </c>
      <c r="BZ10" s="59" t="str">
        <f t="shared" si="3"/>
        <v>SEM 28</v>
      </c>
      <c r="CA10" s="59" t="str">
        <f t="shared" si="4"/>
        <v>JUL</v>
      </c>
      <c r="CB10" s="59" t="str">
        <f t="shared" si="5"/>
        <v>NA</v>
      </c>
      <c r="CC10" s="59" t="str">
        <f t="shared" si="6"/>
        <v/>
      </c>
      <c r="CD10" s="59" t="str">
        <f t="shared" si="7"/>
        <v>NA</v>
      </c>
      <c r="CE10" s="59" t="str">
        <f t="shared" si="8"/>
        <v/>
      </c>
      <c r="CF10" s="59" t="str">
        <f t="shared" si="9"/>
        <v>1RA-OCT</v>
      </c>
      <c r="CG10" s="59" t="str">
        <f t="shared" ca="1" si="10"/>
        <v>3RA SEM</v>
      </c>
      <c r="CH10" s="59" t="str">
        <f t="shared" ca="1" si="11"/>
        <v>NA</v>
      </c>
      <c r="CI10" s="59" t="str">
        <f t="shared" ca="1" si="12"/>
        <v>DE 36 A 45 DIAS</v>
      </c>
      <c r="CJ10" s="59" t="str">
        <f t="shared" ca="1" si="13"/>
        <v>DE 36 A 45 DIAS</v>
      </c>
      <c r="CK10" s="59" t="str">
        <f t="shared" ca="1" si="14"/>
        <v>DE 36 A 45 DIAS</v>
      </c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>
        <f t="shared" si="43"/>
        <v>0</v>
      </c>
      <c r="DH10" s="8">
        <f t="shared" si="79"/>
        <v>0</v>
      </c>
      <c r="DI10" s="8">
        <f t="shared" si="44"/>
        <v>0</v>
      </c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59" t="str">
        <f t="shared" si="45"/>
        <v>NA</v>
      </c>
      <c r="DU10" s="59" t="str">
        <f t="shared" si="46"/>
        <v>NA</v>
      </c>
      <c r="DV10" s="59" t="str">
        <f t="shared" si="47"/>
        <v>NA</v>
      </c>
      <c r="DW10" s="59" t="str">
        <f t="shared" si="48"/>
        <v>NA</v>
      </c>
      <c r="DX10" s="59" t="str">
        <f t="shared" si="49"/>
        <v>NA</v>
      </c>
      <c r="DY10" s="59" t="str">
        <f t="shared" si="50"/>
        <v>NA</v>
      </c>
      <c r="DZ10" s="59" t="str">
        <f t="shared" si="51"/>
        <v>NA</v>
      </c>
      <c r="EA10" s="59" t="str">
        <f t="shared" si="52"/>
        <v>NA</v>
      </c>
      <c r="EB10" s="59" t="str">
        <f t="shared" si="53"/>
        <v>NA</v>
      </c>
      <c r="EC10" s="59" t="str">
        <f t="shared" si="54"/>
        <v>NA</v>
      </c>
      <c r="ED10" s="59" t="str">
        <f t="shared" si="55"/>
        <v/>
      </c>
      <c r="EE10" s="59" t="str">
        <f t="shared" si="56"/>
        <v/>
      </c>
      <c r="EF10" s="59" t="str">
        <f t="shared" si="57"/>
        <v/>
      </c>
      <c r="EG10" s="59" t="str">
        <f t="shared" si="58"/>
        <v/>
      </c>
      <c r="EH10" s="59" t="str">
        <f t="shared" si="59"/>
        <v/>
      </c>
      <c r="EI10" s="59" t="str">
        <f t="shared" si="60"/>
        <v/>
      </c>
      <c r="EJ10" s="59" t="str">
        <f t="shared" si="61"/>
        <v/>
      </c>
      <c r="EK10" s="59" t="str">
        <f t="shared" si="62"/>
        <v/>
      </c>
      <c r="EL10" s="59" t="str">
        <f t="shared" si="63"/>
        <v/>
      </c>
      <c r="EM10" s="59" t="str">
        <f t="shared" si="64"/>
        <v/>
      </c>
      <c r="EN10" s="59" t="str">
        <f t="shared" si="65"/>
        <v/>
      </c>
      <c r="EO10" s="59" t="str">
        <f t="shared" si="66"/>
        <v/>
      </c>
      <c r="EP10" s="59" t="str">
        <f t="shared" si="67"/>
        <v/>
      </c>
      <c r="EQ10" s="59" t="str">
        <f t="shared" si="68"/>
        <v/>
      </c>
      <c r="ER10" s="59" t="str">
        <f t="shared" si="69"/>
        <v/>
      </c>
      <c r="ES10" s="59" t="str">
        <f t="shared" si="70"/>
        <v/>
      </c>
      <c r="ET10" s="59" t="str">
        <f t="shared" si="71"/>
        <v/>
      </c>
      <c r="EU10" s="59" t="str">
        <f t="shared" si="72"/>
        <v/>
      </c>
      <c r="EV10" s="59" t="str">
        <f t="shared" si="73"/>
        <v/>
      </c>
      <c r="EW10" s="59" t="str">
        <f t="shared" si="74"/>
        <v/>
      </c>
      <c r="EX10" s="56">
        <f t="shared" si="26"/>
        <v>1126000</v>
      </c>
      <c r="FE10" s="41" t="s">
        <v>40</v>
      </c>
    </row>
    <row r="11" spans="1:163" x14ac:dyDescent="0.25">
      <c r="A11" s="2">
        <f t="shared" si="75"/>
        <v>10</v>
      </c>
      <c r="B11" s="2" t="s">
        <v>6</v>
      </c>
      <c r="C11" s="2" t="str">
        <f t="shared" si="27"/>
        <v>020204</v>
      </c>
      <c r="D11" s="2">
        <v>2</v>
      </c>
      <c r="E11" s="2">
        <v>2</v>
      </c>
      <c r="F11" s="2">
        <v>4</v>
      </c>
      <c r="G11" s="11" t="s">
        <v>9</v>
      </c>
      <c r="H11" s="4"/>
      <c r="I11" s="42" t="s">
        <v>58</v>
      </c>
      <c r="J11" s="9">
        <v>80</v>
      </c>
      <c r="K11" s="9"/>
      <c r="L11" s="12" t="s">
        <v>8</v>
      </c>
      <c r="M11" s="24" t="s">
        <v>178</v>
      </c>
      <c r="N11" s="7">
        <f t="shared" si="76"/>
        <v>1135000</v>
      </c>
      <c r="O11" s="8">
        <v>49</v>
      </c>
      <c r="P11" s="25">
        <v>41228</v>
      </c>
      <c r="Q11" s="8" t="str">
        <f t="shared" si="28"/>
        <v>2DA-NOV</v>
      </c>
      <c r="R11" s="26">
        <v>0.1</v>
      </c>
      <c r="S11" s="41" t="s">
        <v>34</v>
      </c>
      <c r="T11" s="8" t="s">
        <v>353</v>
      </c>
      <c r="U11" s="8"/>
      <c r="V11" s="7">
        <v>567500</v>
      </c>
      <c r="W11" s="7">
        <f t="shared" si="80"/>
        <v>357525</v>
      </c>
      <c r="X11" s="7">
        <f t="shared" si="29"/>
        <v>209975</v>
      </c>
      <c r="Y11" s="7">
        <v>0</v>
      </c>
      <c r="Z11" s="7">
        <f t="shared" si="30"/>
        <v>357525</v>
      </c>
      <c r="AA11" s="148" t="str">
        <f t="shared" si="31"/>
        <v>65%</v>
      </c>
      <c r="AB11" s="148">
        <f t="shared" si="32"/>
        <v>0.35</v>
      </c>
      <c r="AC11" s="25">
        <f ca="1">TODAY()-45</f>
        <v>41077</v>
      </c>
      <c r="AD11" s="25">
        <f t="shared" ref="AD11:AE11" ca="1" si="99">TODAY()-45</f>
        <v>41077</v>
      </c>
      <c r="AE11" s="25">
        <f t="shared" ca="1" si="99"/>
        <v>41077</v>
      </c>
      <c r="AF11" s="8"/>
      <c r="AG11" s="59" t="str">
        <f t="shared" ca="1" si="34"/>
        <v>NA</v>
      </c>
      <c r="AH11" s="55"/>
      <c r="AI11" s="55"/>
      <c r="AJ11" s="55"/>
      <c r="AK11" s="55"/>
      <c r="AL11" s="55"/>
      <c r="AM11" s="55"/>
      <c r="AN11" s="8"/>
      <c r="AO11" s="8"/>
      <c r="AP11" s="8"/>
      <c r="AQ11" s="8"/>
      <c r="AR11" s="59" t="str">
        <f t="shared" si="90"/>
        <v>NA</v>
      </c>
      <c r="AS11" s="59" t="str">
        <f t="shared" si="91"/>
        <v/>
      </c>
      <c r="AT11" s="59"/>
      <c r="AU11" s="59" t="str">
        <f t="shared" si="1"/>
        <v>ND</v>
      </c>
      <c r="AV11" s="66" t="s">
        <v>73</v>
      </c>
      <c r="AW11" s="66" t="s">
        <v>38</v>
      </c>
      <c r="AX11" s="66" t="s">
        <v>82</v>
      </c>
      <c r="AY11" s="66" t="s">
        <v>174</v>
      </c>
      <c r="AZ11" s="25">
        <v>41012</v>
      </c>
      <c r="BA11" s="8" t="s">
        <v>389</v>
      </c>
      <c r="BB11" s="25">
        <v>41029</v>
      </c>
      <c r="BC11" s="25">
        <v>41197</v>
      </c>
      <c r="BD11" s="8"/>
      <c r="BE11" s="8"/>
      <c r="BF11" s="8"/>
      <c r="BG11" s="8"/>
      <c r="BH11" s="8"/>
      <c r="BI11" s="8"/>
      <c r="BJ11" s="8"/>
      <c r="BK11" s="59" t="s">
        <v>371</v>
      </c>
      <c r="BL11" s="59" t="s">
        <v>378</v>
      </c>
      <c r="BM11" s="59" t="s">
        <v>378</v>
      </c>
      <c r="BN11" s="164">
        <v>0.01</v>
      </c>
      <c r="BO11" s="165">
        <f t="shared" si="37"/>
        <v>3783.3333333333335</v>
      </c>
      <c r="BP11" s="165">
        <f t="shared" ref="BP11:BQ11" si="100">BO11</f>
        <v>3783.3333333333335</v>
      </c>
      <c r="BQ11" s="165">
        <f t="shared" si="100"/>
        <v>3783.3333333333335</v>
      </c>
      <c r="BR11" s="162">
        <v>41044</v>
      </c>
      <c r="BS11" s="59"/>
      <c r="BT11" s="59"/>
      <c r="BU11" s="59"/>
      <c r="BV11" s="59" t="str">
        <f t="shared" si="83"/>
        <v>2DA-MAY-2012</v>
      </c>
      <c r="BW11" s="59" t="str">
        <f t="shared" si="84"/>
        <v>ND</v>
      </c>
      <c r="BX11" s="59" t="str">
        <f t="shared" si="85"/>
        <v>ND</v>
      </c>
      <c r="BY11" s="59" t="str">
        <f t="shared" si="86"/>
        <v>ND</v>
      </c>
      <c r="BZ11" s="59" t="str">
        <f t="shared" si="3"/>
        <v>SEM 15</v>
      </c>
      <c r="CA11" s="59" t="str">
        <f t="shared" si="4"/>
        <v>ABR</v>
      </c>
      <c r="CB11" s="59" t="str">
        <f t="shared" si="5"/>
        <v>NA</v>
      </c>
      <c r="CC11" s="59" t="str">
        <f t="shared" si="6"/>
        <v/>
      </c>
      <c r="CD11" s="59" t="str">
        <f t="shared" si="7"/>
        <v>NA</v>
      </c>
      <c r="CE11" s="59" t="str">
        <f t="shared" si="8"/>
        <v/>
      </c>
      <c r="CF11" s="59" t="str">
        <f t="shared" si="9"/>
        <v>1RA-OCT</v>
      </c>
      <c r="CG11" s="59" t="str">
        <f t="shared" ca="1" si="10"/>
        <v>MAYOR A 2 MESES</v>
      </c>
      <c r="CH11" s="59" t="str">
        <f t="shared" ca="1" si="11"/>
        <v>NA</v>
      </c>
      <c r="CI11" s="59" t="str">
        <f t="shared" ca="1" si="12"/>
        <v>DE 36 A 45 DIAS</v>
      </c>
      <c r="CJ11" s="59" t="str">
        <f t="shared" ca="1" si="13"/>
        <v>DE 36 A 45 DIAS</v>
      </c>
      <c r="CK11" s="59" t="str">
        <f t="shared" ca="1" si="14"/>
        <v>DE 36 A 45 DIAS</v>
      </c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>
        <f t="shared" si="43"/>
        <v>0</v>
      </c>
      <c r="DH11" s="8">
        <f t="shared" si="79"/>
        <v>0</v>
      </c>
      <c r="DI11" s="8">
        <f t="shared" si="44"/>
        <v>0</v>
      </c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59" t="str">
        <f t="shared" si="45"/>
        <v>NA</v>
      </c>
      <c r="DU11" s="59" t="str">
        <f t="shared" si="46"/>
        <v>NA</v>
      </c>
      <c r="DV11" s="59" t="str">
        <f t="shared" si="47"/>
        <v>NA</v>
      </c>
      <c r="DW11" s="59" t="str">
        <f t="shared" si="48"/>
        <v>NA</v>
      </c>
      <c r="DX11" s="59" t="str">
        <f t="shared" si="49"/>
        <v>NA</v>
      </c>
      <c r="DY11" s="59" t="str">
        <f t="shared" si="50"/>
        <v>NA</v>
      </c>
      <c r="DZ11" s="59" t="str">
        <f t="shared" si="51"/>
        <v>NA</v>
      </c>
      <c r="EA11" s="59" t="str">
        <f t="shared" si="52"/>
        <v>NA</v>
      </c>
      <c r="EB11" s="59" t="str">
        <f t="shared" si="53"/>
        <v>NA</v>
      </c>
      <c r="EC11" s="59" t="str">
        <f t="shared" si="54"/>
        <v>NA</v>
      </c>
      <c r="ED11" s="59" t="str">
        <f t="shared" si="55"/>
        <v/>
      </c>
      <c r="EE11" s="59" t="str">
        <f t="shared" si="56"/>
        <v/>
      </c>
      <c r="EF11" s="59" t="str">
        <f t="shared" si="57"/>
        <v/>
      </c>
      <c r="EG11" s="59" t="str">
        <f t="shared" si="58"/>
        <v/>
      </c>
      <c r="EH11" s="59" t="str">
        <f t="shared" si="59"/>
        <v/>
      </c>
      <c r="EI11" s="59" t="str">
        <f t="shared" si="60"/>
        <v/>
      </c>
      <c r="EJ11" s="59" t="str">
        <f t="shared" si="61"/>
        <v/>
      </c>
      <c r="EK11" s="59" t="str">
        <f t="shared" si="62"/>
        <v/>
      </c>
      <c r="EL11" s="59" t="str">
        <f t="shared" si="63"/>
        <v/>
      </c>
      <c r="EM11" s="59" t="str">
        <f t="shared" si="64"/>
        <v/>
      </c>
      <c r="EN11" s="59" t="str">
        <f t="shared" si="65"/>
        <v/>
      </c>
      <c r="EO11" s="59" t="str">
        <f t="shared" si="66"/>
        <v/>
      </c>
      <c r="EP11" s="59" t="str">
        <f t="shared" si="67"/>
        <v/>
      </c>
      <c r="EQ11" s="59" t="str">
        <f t="shared" si="68"/>
        <v/>
      </c>
      <c r="ER11" s="59" t="str">
        <f t="shared" si="69"/>
        <v/>
      </c>
      <c r="ES11" s="59" t="str">
        <f t="shared" si="70"/>
        <v/>
      </c>
      <c r="ET11" s="59" t="str">
        <f t="shared" si="71"/>
        <v/>
      </c>
      <c r="EU11" s="59" t="str">
        <f t="shared" si="72"/>
        <v/>
      </c>
      <c r="EV11" s="59" t="str">
        <f t="shared" si="73"/>
        <v/>
      </c>
      <c r="EW11" s="59" t="str">
        <f t="shared" si="74"/>
        <v/>
      </c>
      <c r="EX11" s="56">
        <f t="shared" si="26"/>
        <v>1135000</v>
      </c>
      <c r="FE11" s="41" t="s">
        <v>67</v>
      </c>
    </row>
    <row r="12" spans="1:163" x14ac:dyDescent="0.25">
      <c r="A12" s="2">
        <f t="shared" si="75"/>
        <v>11</v>
      </c>
      <c r="B12" s="2" t="s">
        <v>6</v>
      </c>
      <c r="C12" s="2" t="str">
        <f t="shared" si="27"/>
        <v>020205</v>
      </c>
      <c r="D12" s="2">
        <v>2</v>
      </c>
      <c r="E12" s="2">
        <v>2</v>
      </c>
      <c r="F12" s="2">
        <v>5</v>
      </c>
      <c r="G12" s="11" t="s">
        <v>9</v>
      </c>
      <c r="H12" s="4"/>
      <c r="I12" s="42" t="s">
        <v>58</v>
      </c>
      <c r="J12" s="9">
        <v>80</v>
      </c>
      <c r="K12" s="5"/>
      <c r="L12" s="6" t="s">
        <v>306</v>
      </c>
      <c r="M12" s="24" t="s">
        <v>178</v>
      </c>
      <c r="N12" s="7">
        <f t="shared" si="76"/>
        <v>1126000</v>
      </c>
      <c r="O12" s="8">
        <v>50</v>
      </c>
      <c r="P12" s="25">
        <v>41228</v>
      </c>
      <c r="Q12" s="8" t="str">
        <f t="shared" si="28"/>
        <v>2DA-NOV</v>
      </c>
      <c r="R12" s="26">
        <v>0.1</v>
      </c>
      <c r="S12" s="41" t="s">
        <v>34</v>
      </c>
      <c r="T12" s="8" t="s">
        <v>353</v>
      </c>
      <c r="U12" s="8"/>
      <c r="V12" s="7">
        <v>563000</v>
      </c>
      <c r="W12" s="7">
        <f t="shared" si="80"/>
        <v>354690</v>
      </c>
      <c r="X12" s="7">
        <f t="shared" si="29"/>
        <v>208310</v>
      </c>
      <c r="Y12" s="7">
        <v>0</v>
      </c>
      <c r="Z12" s="7">
        <f t="shared" si="30"/>
        <v>354690</v>
      </c>
      <c r="AA12" s="148" t="str">
        <f t="shared" si="31"/>
        <v>65%</v>
      </c>
      <c r="AB12" s="148">
        <f t="shared" si="32"/>
        <v>0.35</v>
      </c>
      <c r="AC12" s="25">
        <f ca="1">TODAY()-50</f>
        <v>41072</v>
      </c>
      <c r="AD12" s="25">
        <f t="shared" ref="AD12:AE12" ca="1" si="101">TODAY()-50</f>
        <v>41072</v>
      </c>
      <c r="AE12" s="25">
        <f t="shared" ca="1" si="101"/>
        <v>41072</v>
      </c>
      <c r="AF12" s="8"/>
      <c r="AG12" s="59" t="str">
        <f t="shared" ca="1" si="34"/>
        <v>NA</v>
      </c>
      <c r="AH12" s="55"/>
      <c r="AI12" s="55"/>
      <c r="AJ12" s="55"/>
      <c r="AK12" s="55"/>
      <c r="AL12" s="55"/>
      <c r="AM12" s="55"/>
      <c r="AN12" s="8"/>
      <c r="AO12" s="8"/>
      <c r="AP12" s="8"/>
      <c r="AQ12" s="8"/>
      <c r="AR12" s="59" t="str">
        <f t="shared" si="90"/>
        <v>NA</v>
      </c>
      <c r="AS12" s="59" t="str">
        <f t="shared" si="91"/>
        <v/>
      </c>
      <c r="AT12" s="59"/>
      <c r="AU12" s="59" t="str">
        <f t="shared" si="1"/>
        <v>ND</v>
      </c>
      <c r="AV12" s="66" t="s">
        <v>73</v>
      </c>
      <c r="AW12" s="66" t="s">
        <v>38</v>
      </c>
      <c r="AX12" s="66" t="s">
        <v>82</v>
      </c>
      <c r="AY12" s="66" t="s">
        <v>172</v>
      </c>
      <c r="AZ12" s="25">
        <v>41049</v>
      </c>
      <c r="BA12" s="8" t="s">
        <v>389</v>
      </c>
      <c r="BB12" s="25">
        <v>41059</v>
      </c>
      <c r="BC12" s="25">
        <v>41197</v>
      </c>
      <c r="BD12" s="8"/>
      <c r="BE12" s="8"/>
      <c r="BF12" s="8"/>
      <c r="BG12" s="8"/>
      <c r="BH12" s="8"/>
      <c r="BI12" s="8"/>
      <c r="BJ12" s="8"/>
      <c r="BK12" s="59" t="s">
        <v>371</v>
      </c>
      <c r="BL12" s="59" t="s">
        <v>378</v>
      </c>
      <c r="BM12" s="59" t="s">
        <v>378</v>
      </c>
      <c r="BN12" s="164">
        <v>0.01</v>
      </c>
      <c r="BO12" s="165">
        <f t="shared" si="37"/>
        <v>3753.3333333333335</v>
      </c>
      <c r="BP12" s="165">
        <f t="shared" ref="BP12:BQ12" si="102">BO12</f>
        <v>3753.3333333333335</v>
      </c>
      <c r="BQ12" s="165">
        <f t="shared" si="102"/>
        <v>3753.3333333333335</v>
      </c>
      <c r="BR12" s="162">
        <v>41059</v>
      </c>
      <c r="BS12" s="59"/>
      <c r="BT12" s="59"/>
      <c r="BU12" s="59"/>
      <c r="BV12" s="59" t="str">
        <f t="shared" si="83"/>
        <v>2DA-MAY-2012</v>
      </c>
      <c r="BW12" s="59" t="str">
        <f t="shared" si="84"/>
        <v>ND</v>
      </c>
      <c r="BX12" s="59" t="str">
        <f t="shared" si="85"/>
        <v>ND</v>
      </c>
      <c r="BY12" s="59" t="str">
        <f t="shared" si="86"/>
        <v>ND</v>
      </c>
      <c r="BZ12" s="59" t="str">
        <f t="shared" si="3"/>
        <v>SEM 21</v>
      </c>
      <c r="CA12" s="59" t="str">
        <f t="shared" si="4"/>
        <v>MAY</v>
      </c>
      <c r="CB12" s="59" t="str">
        <f t="shared" si="5"/>
        <v>NA</v>
      </c>
      <c r="CC12" s="59" t="str">
        <f t="shared" si="6"/>
        <v/>
      </c>
      <c r="CD12" s="59" t="str">
        <f t="shared" si="7"/>
        <v>NA</v>
      </c>
      <c r="CE12" s="59" t="str">
        <f t="shared" si="8"/>
        <v/>
      </c>
      <c r="CF12" s="59" t="str">
        <f t="shared" si="9"/>
        <v>1RA-OCT</v>
      </c>
      <c r="CG12" s="59" t="str">
        <f t="shared" ca="1" si="10"/>
        <v>MAYOR A 2 MESES</v>
      </c>
      <c r="CH12" s="59" t="str">
        <f t="shared" ca="1" si="11"/>
        <v>NA</v>
      </c>
      <c r="CI12" s="59" t="str">
        <f t="shared" ca="1" si="12"/>
        <v>MAYOR A 45 DIAS</v>
      </c>
      <c r="CJ12" s="59" t="str">
        <f t="shared" ca="1" si="13"/>
        <v>MAYOR A 45 DIAS</v>
      </c>
      <c r="CK12" s="59" t="str">
        <f t="shared" ca="1" si="14"/>
        <v>MAYOR A 45 DIAS</v>
      </c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>
        <f t="shared" si="43"/>
        <v>0</v>
      </c>
      <c r="DH12" s="8">
        <f t="shared" si="79"/>
        <v>0</v>
      </c>
      <c r="DI12" s="8">
        <f t="shared" si="44"/>
        <v>0</v>
      </c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59" t="str">
        <f t="shared" si="45"/>
        <v>NA</v>
      </c>
      <c r="DU12" s="59" t="str">
        <f t="shared" si="46"/>
        <v>NA</v>
      </c>
      <c r="DV12" s="59" t="str">
        <f t="shared" si="47"/>
        <v>NA</v>
      </c>
      <c r="DW12" s="59" t="str">
        <f t="shared" si="48"/>
        <v>NA</v>
      </c>
      <c r="DX12" s="59" t="str">
        <f t="shared" si="49"/>
        <v>NA</v>
      </c>
      <c r="DY12" s="59" t="str">
        <f t="shared" si="50"/>
        <v>NA</v>
      </c>
      <c r="DZ12" s="59" t="str">
        <f t="shared" si="51"/>
        <v>NA</v>
      </c>
      <c r="EA12" s="59" t="str">
        <f t="shared" si="52"/>
        <v>NA</v>
      </c>
      <c r="EB12" s="59" t="str">
        <f t="shared" si="53"/>
        <v>NA</v>
      </c>
      <c r="EC12" s="59" t="str">
        <f t="shared" si="54"/>
        <v>NA</v>
      </c>
      <c r="ED12" s="59" t="str">
        <f t="shared" si="55"/>
        <v/>
      </c>
      <c r="EE12" s="59" t="str">
        <f t="shared" si="56"/>
        <v/>
      </c>
      <c r="EF12" s="59" t="str">
        <f t="shared" si="57"/>
        <v/>
      </c>
      <c r="EG12" s="59" t="str">
        <f t="shared" si="58"/>
        <v/>
      </c>
      <c r="EH12" s="59" t="str">
        <f t="shared" si="59"/>
        <v/>
      </c>
      <c r="EI12" s="59" t="str">
        <f t="shared" si="60"/>
        <v/>
      </c>
      <c r="EJ12" s="59" t="str">
        <f t="shared" si="61"/>
        <v/>
      </c>
      <c r="EK12" s="59" t="str">
        <f t="shared" si="62"/>
        <v/>
      </c>
      <c r="EL12" s="59" t="str">
        <f t="shared" si="63"/>
        <v/>
      </c>
      <c r="EM12" s="59" t="str">
        <f t="shared" si="64"/>
        <v/>
      </c>
      <c r="EN12" s="59" t="str">
        <f t="shared" si="65"/>
        <v/>
      </c>
      <c r="EO12" s="59" t="str">
        <f t="shared" si="66"/>
        <v/>
      </c>
      <c r="EP12" s="59" t="str">
        <f t="shared" si="67"/>
        <v/>
      </c>
      <c r="EQ12" s="59" t="str">
        <f t="shared" si="68"/>
        <v/>
      </c>
      <c r="ER12" s="59" t="str">
        <f t="shared" si="69"/>
        <v/>
      </c>
      <c r="ES12" s="59" t="str">
        <f t="shared" si="70"/>
        <v/>
      </c>
      <c r="ET12" s="59" t="str">
        <f t="shared" si="71"/>
        <v/>
      </c>
      <c r="EU12" s="59" t="str">
        <f t="shared" si="72"/>
        <v/>
      </c>
      <c r="EV12" s="59" t="str">
        <f t="shared" si="73"/>
        <v/>
      </c>
      <c r="EW12" s="59" t="str">
        <f t="shared" si="74"/>
        <v/>
      </c>
      <c r="EX12" s="56">
        <f t="shared" si="26"/>
        <v>1126000</v>
      </c>
      <c r="FE12" s="41" t="s">
        <v>68</v>
      </c>
    </row>
    <row r="13" spans="1:163" x14ac:dyDescent="0.25">
      <c r="A13" s="2">
        <f t="shared" si="75"/>
        <v>12</v>
      </c>
      <c r="B13" s="2" t="s">
        <v>6</v>
      </c>
      <c r="C13" s="2" t="str">
        <f t="shared" si="27"/>
        <v>020206</v>
      </c>
      <c r="D13" s="2">
        <v>2</v>
      </c>
      <c r="E13" s="2">
        <v>2</v>
      </c>
      <c r="F13" s="13">
        <v>6</v>
      </c>
      <c r="G13" s="14" t="s">
        <v>9</v>
      </c>
      <c r="H13" s="130"/>
      <c r="I13" s="42" t="s">
        <v>58</v>
      </c>
      <c r="J13" s="9">
        <v>80</v>
      </c>
      <c r="K13" s="5"/>
      <c r="L13" s="6" t="s">
        <v>306</v>
      </c>
      <c r="M13" s="24" t="s">
        <v>178</v>
      </c>
      <c r="N13" s="7">
        <f t="shared" si="76"/>
        <v>1126000</v>
      </c>
      <c r="O13" s="8">
        <v>51</v>
      </c>
      <c r="P13" s="25">
        <v>41228</v>
      </c>
      <c r="Q13" s="8" t="str">
        <f t="shared" si="28"/>
        <v>2DA-NOV</v>
      </c>
      <c r="R13" s="26">
        <v>0.1</v>
      </c>
      <c r="S13" s="41" t="s">
        <v>34</v>
      </c>
      <c r="T13" s="8" t="s">
        <v>353</v>
      </c>
      <c r="U13" s="8"/>
      <c r="V13" s="7">
        <v>563000</v>
      </c>
      <c r="W13" s="7">
        <f t="shared" si="80"/>
        <v>354690</v>
      </c>
      <c r="X13" s="7">
        <f t="shared" si="29"/>
        <v>208310</v>
      </c>
      <c r="Y13" s="7">
        <v>0</v>
      </c>
      <c r="Z13" s="7">
        <f t="shared" si="30"/>
        <v>354690</v>
      </c>
      <c r="AA13" s="148" t="str">
        <f t="shared" si="31"/>
        <v>65%</v>
      </c>
      <c r="AB13" s="148">
        <f t="shared" si="32"/>
        <v>0.35</v>
      </c>
      <c r="AC13" s="25">
        <f t="shared" ref="AC13:AE18" ca="1" si="103">TODAY()-4</f>
        <v>41118</v>
      </c>
      <c r="AD13" s="25">
        <f t="shared" ca="1" si="103"/>
        <v>41118</v>
      </c>
      <c r="AE13" s="25">
        <f t="shared" ca="1" si="103"/>
        <v>41118</v>
      </c>
      <c r="AF13" s="8"/>
      <c r="AG13" s="59" t="str">
        <f t="shared" ca="1" si="34"/>
        <v>NA</v>
      </c>
      <c r="AH13" s="55"/>
      <c r="AI13" s="55"/>
      <c r="AJ13" s="55"/>
      <c r="AK13" s="55"/>
      <c r="AL13" s="55"/>
      <c r="AM13" s="55"/>
      <c r="AN13" s="8"/>
      <c r="AO13" s="8"/>
      <c r="AP13" s="8"/>
      <c r="AQ13" s="8"/>
      <c r="AR13" s="59" t="str">
        <f t="shared" si="90"/>
        <v>NA</v>
      </c>
      <c r="AS13" s="59" t="str">
        <f t="shared" si="91"/>
        <v/>
      </c>
      <c r="AT13" s="59"/>
      <c r="AU13" s="59" t="str">
        <f t="shared" si="1"/>
        <v>ND</v>
      </c>
      <c r="AV13" s="66" t="s">
        <v>73</v>
      </c>
      <c r="AW13" s="66" t="s">
        <v>38</v>
      </c>
      <c r="AX13" s="66" t="s">
        <v>82</v>
      </c>
      <c r="AY13" s="66" t="s">
        <v>174</v>
      </c>
      <c r="AZ13" s="25">
        <v>41049</v>
      </c>
      <c r="BA13" s="8" t="s">
        <v>389</v>
      </c>
      <c r="BB13" s="25">
        <v>41059</v>
      </c>
      <c r="BC13" s="25">
        <v>41197</v>
      </c>
      <c r="BD13" s="8"/>
      <c r="BE13" s="8"/>
      <c r="BF13" s="8"/>
      <c r="BG13" s="8"/>
      <c r="BH13" s="8"/>
      <c r="BI13" s="8"/>
      <c r="BJ13" s="8"/>
      <c r="BK13" s="59" t="s">
        <v>371</v>
      </c>
      <c r="BL13" s="59" t="s">
        <v>378</v>
      </c>
      <c r="BM13" s="59" t="s">
        <v>378</v>
      </c>
      <c r="BN13" s="164">
        <v>0.01</v>
      </c>
      <c r="BO13" s="165">
        <f t="shared" si="37"/>
        <v>3753.3333333333335</v>
      </c>
      <c r="BP13" s="165">
        <f t="shared" ref="BP13:BQ13" si="104">BO13</f>
        <v>3753.3333333333335</v>
      </c>
      <c r="BQ13" s="165">
        <f t="shared" si="104"/>
        <v>3753.3333333333335</v>
      </c>
      <c r="BR13" s="162">
        <v>41075</v>
      </c>
      <c r="BS13" s="59"/>
      <c r="BT13" s="59"/>
      <c r="BU13" s="59"/>
      <c r="BV13" s="59" t="str">
        <f t="shared" si="83"/>
        <v>2DA-JUN-2012</v>
      </c>
      <c r="BW13" s="59" t="str">
        <f t="shared" si="84"/>
        <v>ND</v>
      </c>
      <c r="BX13" s="59" t="str">
        <f t="shared" si="85"/>
        <v>ND</v>
      </c>
      <c r="BY13" s="59" t="str">
        <f t="shared" si="86"/>
        <v>ND</v>
      </c>
      <c r="BZ13" s="59" t="str">
        <f t="shared" si="3"/>
        <v>SEM 21</v>
      </c>
      <c r="CA13" s="59" t="str">
        <f t="shared" si="4"/>
        <v>MAY</v>
      </c>
      <c r="CB13" s="59" t="str">
        <f t="shared" si="5"/>
        <v>NA</v>
      </c>
      <c r="CC13" s="59" t="str">
        <f t="shared" si="6"/>
        <v/>
      </c>
      <c r="CD13" s="59" t="str">
        <f t="shared" si="7"/>
        <v>NA</v>
      </c>
      <c r="CE13" s="59" t="str">
        <f t="shared" si="8"/>
        <v/>
      </c>
      <c r="CF13" s="59" t="str">
        <f t="shared" si="9"/>
        <v>1RA-OCT</v>
      </c>
      <c r="CG13" s="59" t="str">
        <f t="shared" ca="1" si="10"/>
        <v>MAYOR A 2 MESES</v>
      </c>
      <c r="CH13" s="59" t="str">
        <f t="shared" ca="1" si="11"/>
        <v>NA</v>
      </c>
      <c r="CI13" s="59" t="str">
        <f t="shared" ca="1" si="12"/>
        <v>HASTA 5 DIAS</v>
      </c>
      <c r="CJ13" s="59" t="str">
        <f t="shared" ca="1" si="13"/>
        <v>HASTA 5 DIAS</v>
      </c>
      <c r="CK13" s="59" t="str">
        <f t="shared" ca="1" si="14"/>
        <v>HASTA 5 DIAS</v>
      </c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>
        <f t="shared" si="43"/>
        <v>0</v>
      </c>
      <c r="DH13" s="8">
        <f t="shared" si="79"/>
        <v>0</v>
      </c>
      <c r="DI13" s="8">
        <f t="shared" si="44"/>
        <v>0</v>
      </c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59" t="str">
        <f t="shared" si="45"/>
        <v>NA</v>
      </c>
      <c r="DU13" s="59" t="str">
        <f t="shared" si="46"/>
        <v>NA</v>
      </c>
      <c r="DV13" s="59" t="str">
        <f t="shared" si="47"/>
        <v>NA</v>
      </c>
      <c r="DW13" s="59" t="str">
        <f t="shared" si="48"/>
        <v>NA</v>
      </c>
      <c r="DX13" s="59" t="str">
        <f t="shared" si="49"/>
        <v>NA</v>
      </c>
      <c r="DY13" s="59" t="str">
        <f t="shared" si="50"/>
        <v>NA</v>
      </c>
      <c r="DZ13" s="59" t="str">
        <f t="shared" si="51"/>
        <v>NA</v>
      </c>
      <c r="EA13" s="59" t="str">
        <f t="shared" si="52"/>
        <v>NA</v>
      </c>
      <c r="EB13" s="59" t="str">
        <f t="shared" si="53"/>
        <v>NA</v>
      </c>
      <c r="EC13" s="59" t="str">
        <f t="shared" si="54"/>
        <v>NA</v>
      </c>
      <c r="ED13" s="59" t="str">
        <f t="shared" si="55"/>
        <v/>
      </c>
      <c r="EE13" s="59" t="str">
        <f t="shared" si="56"/>
        <v/>
      </c>
      <c r="EF13" s="59" t="str">
        <f t="shared" si="57"/>
        <v/>
      </c>
      <c r="EG13" s="59" t="str">
        <f t="shared" si="58"/>
        <v/>
      </c>
      <c r="EH13" s="59" t="str">
        <f t="shared" si="59"/>
        <v/>
      </c>
      <c r="EI13" s="59" t="str">
        <f t="shared" si="60"/>
        <v/>
      </c>
      <c r="EJ13" s="59" t="str">
        <f t="shared" si="61"/>
        <v/>
      </c>
      <c r="EK13" s="59" t="str">
        <f t="shared" si="62"/>
        <v/>
      </c>
      <c r="EL13" s="59" t="str">
        <f t="shared" si="63"/>
        <v/>
      </c>
      <c r="EM13" s="59" t="str">
        <f t="shared" si="64"/>
        <v/>
      </c>
      <c r="EN13" s="59" t="str">
        <f t="shared" si="65"/>
        <v/>
      </c>
      <c r="EO13" s="59" t="str">
        <f t="shared" si="66"/>
        <v/>
      </c>
      <c r="EP13" s="59" t="str">
        <f t="shared" si="67"/>
        <v/>
      </c>
      <c r="EQ13" s="59" t="str">
        <f t="shared" si="68"/>
        <v/>
      </c>
      <c r="ER13" s="59" t="str">
        <f t="shared" si="69"/>
        <v/>
      </c>
      <c r="ES13" s="59" t="str">
        <f t="shared" si="70"/>
        <v/>
      </c>
      <c r="ET13" s="59" t="str">
        <f t="shared" si="71"/>
        <v/>
      </c>
      <c r="EU13" s="59" t="str">
        <f t="shared" si="72"/>
        <v/>
      </c>
      <c r="EV13" s="59" t="str">
        <f t="shared" si="73"/>
        <v/>
      </c>
      <c r="EW13" s="59" t="str">
        <f t="shared" si="74"/>
        <v/>
      </c>
      <c r="EX13" s="56">
        <f t="shared" si="26"/>
        <v>1126000</v>
      </c>
      <c r="FE13" s="41" t="s">
        <v>150</v>
      </c>
    </row>
    <row r="14" spans="1:163" x14ac:dyDescent="0.25">
      <c r="A14" s="2">
        <f t="shared" si="75"/>
        <v>13</v>
      </c>
      <c r="B14" s="2" t="s">
        <v>6</v>
      </c>
      <c r="C14" s="2" t="str">
        <f t="shared" si="27"/>
        <v>020207</v>
      </c>
      <c r="D14" s="2">
        <v>2</v>
      </c>
      <c r="E14" s="2">
        <v>2</v>
      </c>
      <c r="F14" s="13">
        <v>7</v>
      </c>
      <c r="G14" s="14" t="s">
        <v>9</v>
      </c>
      <c r="H14" s="130"/>
      <c r="I14" s="42" t="s">
        <v>58</v>
      </c>
      <c r="J14" s="15">
        <v>106.81</v>
      </c>
      <c r="K14" s="15"/>
      <c r="L14" s="12" t="s">
        <v>8</v>
      </c>
      <c r="M14" s="24" t="s">
        <v>178</v>
      </c>
      <c r="N14" s="7">
        <f t="shared" si="76"/>
        <v>1236878</v>
      </c>
      <c r="O14" s="8">
        <v>52</v>
      </c>
      <c r="P14" s="25">
        <v>41228</v>
      </c>
      <c r="Q14" s="8" t="str">
        <f t="shared" si="28"/>
        <v>2DA-NOV</v>
      </c>
      <c r="R14" s="26">
        <v>0.1</v>
      </c>
      <c r="S14" s="41" t="s">
        <v>34</v>
      </c>
      <c r="T14" s="8" t="s">
        <v>353</v>
      </c>
      <c r="U14" s="8"/>
      <c r="V14" s="7">
        <v>618439</v>
      </c>
      <c r="W14" s="7">
        <f t="shared" si="80"/>
        <v>389616.57</v>
      </c>
      <c r="X14" s="7">
        <f t="shared" si="29"/>
        <v>228822.43</v>
      </c>
      <c r="Y14" s="7">
        <v>0</v>
      </c>
      <c r="Z14" s="7">
        <f t="shared" si="30"/>
        <v>389616.57</v>
      </c>
      <c r="AA14" s="148" t="str">
        <f t="shared" si="31"/>
        <v>65%</v>
      </c>
      <c r="AB14" s="148">
        <f t="shared" si="32"/>
        <v>0.35</v>
      </c>
      <c r="AC14" s="25">
        <f t="shared" ca="1" si="103"/>
        <v>41118</v>
      </c>
      <c r="AD14" s="25">
        <f t="shared" ca="1" si="103"/>
        <v>41118</v>
      </c>
      <c r="AE14" s="25">
        <f t="shared" ca="1" si="103"/>
        <v>41118</v>
      </c>
      <c r="AF14" s="8"/>
      <c r="AG14" s="59" t="str">
        <f t="shared" ca="1" si="34"/>
        <v>NA</v>
      </c>
      <c r="AH14" s="55"/>
      <c r="AI14" s="55"/>
      <c r="AJ14" s="55"/>
      <c r="AK14" s="55"/>
      <c r="AL14" s="55"/>
      <c r="AM14" s="55"/>
      <c r="AN14" s="8"/>
      <c r="AO14" s="8"/>
      <c r="AP14" s="8"/>
      <c r="AQ14" s="8"/>
      <c r="AR14" s="59" t="str">
        <f t="shared" si="90"/>
        <v>NA</v>
      </c>
      <c r="AS14" s="59" t="str">
        <f t="shared" si="91"/>
        <v/>
      </c>
      <c r="AT14" s="59"/>
      <c r="AU14" s="59" t="str">
        <f t="shared" si="1"/>
        <v>ND</v>
      </c>
      <c r="AV14" s="66" t="s">
        <v>73</v>
      </c>
      <c r="AW14" s="66" t="s">
        <v>38</v>
      </c>
      <c r="AX14" s="66" t="s">
        <v>82</v>
      </c>
      <c r="AY14" s="66" t="s">
        <v>173</v>
      </c>
      <c r="AZ14" s="25">
        <v>41075</v>
      </c>
      <c r="BA14" s="8" t="s">
        <v>389</v>
      </c>
      <c r="BB14" s="25">
        <v>41077</v>
      </c>
      <c r="BC14" s="25">
        <v>41197</v>
      </c>
      <c r="BD14" s="8"/>
      <c r="BE14" s="8"/>
      <c r="BF14" s="8"/>
      <c r="BG14" s="8"/>
      <c r="BH14" s="8"/>
      <c r="BI14" s="8"/>
      <c r="BJ14" s="8"/>
      <c r="BK14" s="59" t="s">
        <v>373</v>
      </c>
      <c r="BL14" s="59" t="s">
        <v>378</v>
      </c>
      <c r="BM14" s="59" t="s">
        <v>378</v>
      </c>
      <c r="BN14" s="164">
        <v>0.01</v>
      </c>
      <c r="BO14" s="165">
        <f t="shared" si="37"/>
        <v>4122.9266666666672</v>
      </c>
      <c r="BP14" s="165">
        <f t="shared" ref="BP14:BQ14" si="105">BO14</f>
        <v>4122.9266666666672</v>
      </c>
      <c r="BQ14" s="165">
        <f t="shared" si="105"/>
        <v>4122.9266666666672</v>
      </c>
      <c r="BR14" s="162">
        <v>41090</v>
      </c>
      <c r="BS14" s="59"/>
      <c r="BT14" s="59"/>
      <c r="BU14" s="59"/>
      <c r="BV14" s="59" t="str">
        <f t="shared" si="83"/>
        <v>2DA-JUN-2012</v>
      </c>
      <c r="BW14" s="59" t="str">
        <f t="shared" si="84"/>
        <v>ND</v>
      </c>
      <c r="BX14" s="59" t="str">
        <f t="shared" si="85"/>
        <v>ND</v>
      </c>
      <c r="BY14" s="59" t="str">
        <f t="shared" si="86"/>
        <v>ND</v>
      </c>
      <c r="BZ14" s="59" t="str">
        <f t="shared" si="3"/>
        <v>SEM 24</v>
      </c>
      <c r="CA14" s="59" t="str">
        <f t="shared" si="4"/>
        <v>JUN</v>
      </c>
      <c r="CB14" s="59" t="str">
        <f t="shared" si="5"/>
        <v>NA</v>
      </c>
      <c r="CC14" s="59" t="str">
        <f t="shared" si="6"/>
        <v/>
      </c>
      <c r="CD14" s="59" t="str">
        <f t="shared" si="7"/>
        <v>NA</v>
      </c>
      <c r="CE14" s="59" t="str">
        <f t="shared" si="8"/>
        <v/>
      </c>
      <c r="CF14" s="59" t="str">
        <f t="shared" si="9"/>
        <v>1RA-OCT</v>
      </c>
      <c r="CG14" s="59" t="str">
        <f t="shared" ca="1" si="10"/>
        <v>7MA SEM</v>
      </c>
      <c r="CH14" s="59" t="str">
        <f t="shared" ca="1" si="11"/>
        <v>NA</v>
      </c>
      <c r="CI14" s="59" t="str">
        <f t="shared" ca="1" si="12"/>
        <v>HASTA 5 DIAS</v>
      </c>
      <c r="CJ14" s="59" t="str">
        <f t="shared" ca="1" si="13"/>
        <v>HASTA 5 DIAS</v>
      </c>
      <c r="CK14" s="59" t="str">
        <f t="shared" ca="1" si="14"/>
        <v>HASTA 5 DIAS</v>
      </c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>
        <f t="shared" si="43"/>
        <v>0</v>
      </c>
      <c r="DH14" s="8">
        <f t="shared" si="79"/>
        <v>0</v>
      </c>
      <c r="DI14" s="8">
        <f t="shared" si="44"/>
        <v>0</v>
      </c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59" t="str">
        <f t="shared" si="45"/>
        <v>NA</v>
      </c>
      <c r="DU14" s="59" t="str">
        <f t="shared" si="46"/>
        <v>NA</v>
      </c>
      <c r="DV14" s="59" t="str">
        <f t="shared" si="47"/>
        <v>NA</v>
      </c>
      <c r="DW14" s="59" t="str">
        <f t="shared" si="48"/>
        <v>NA</v>
      </c>
      <c r="DX14" s="59" t="str">
        <f t="shared" si="49"/>
        <v>NA</v>
      </c>
      <c r="DY14" s="59" t="str">
        <f t="shared" si="50"/>
        <v>NA</v>
      </c>
      <c r="DZ14" s="59" t="str">
        <f t="shared" si="51"/>
        <v>NA</v>
      </c>
      <c r="EA14" s="59" t="str">
        <f t="shared" si="52"/>
        <v>NA</v>
      </c>
      <c r="EB14" s="59" t="str">
        <f t="shared" si="53"/>
        <v>NA</v>
      </c>
      <c r="EC14" s="59" t="str">
        <f t="shared" si="54"/>
        <v>NA</v>
      </c>
      <c r="ED14" s="59" t="str">
        <f t="shared" si="55"/>
        <v/>
      </c>
      <c r="EE14" s="59" t="str">
        <f t="shared" si="56"/>
        <v/>
      </c>
      <c r="EF14" s="59" t="str">
        <f t="shared" si="57"/>
        <v/>
      </c>
      <c r="EG14" s="59" t="str">
        <f t="shared" si="58"/>
        <v/>
      </c>
      <c r="EH14" s="59" t="str">
        <f t="shared" si="59"/>
        <v/>
      </c>
      <c r="EI14" s="59" t="str">
        <f t="shared" si="60"/>
        <v/>
      </c>
      <c r="EJ14" s="59" t="str">
        <f t="shared" si="61"/>
        <v/>
      </c>
      <c r="EK14" s="59" t="str">
        <f t="shared" si="62"/>
        <v/>
      </c>
      <c r="EL14" s="59" t="str">
        <f t="shared" si="63"/>
        <v/>
      </c>
      <c r="EM14" s="59" t="str">
        <f t="shared" si="64"/>
        <v/>
      </c>
      <c r="EN14" s="59" t="str">
        <f t="shared" si="65"/>
        <v/>
      </c>
      <c r="EO14" s="59" t="str">
        <f t="shared" si="66"/>
        <v/>
      </c>
      <c r="EP14" s="59" t="str">
        <f t="shared" si="67"/>
        <v/>
      </c>
      <c r="EQ14" s="59" t="str">
        <f t="shared" si="68"/>
        <v/>
      </c>
      <c r="ER14" s="59" t="str">
        <f t="shared" si="69"/>
        <v/>
      </c>
      <c r="ES14" s="59" t="str">
        <f t="shared" si="70"/>
        <v/>
      </c>
      <c r="ET14" s="59" t="str">
        <f t="shared" si="71"/>
        <v/>
      </c>
      <c r="EU14" s="59" t="str">
        <f t="shared" si="72"/>
        <v/>
      </c>
      <c r="EV14" s="59" t="str">
        <f t="shared" si="73"/>
        <v/>
      </c>
      <c r="EW14" s="59" t="str">
        <f t="shared" si="74"/>
        <v/>
      </c>
      <c r="EX14" s="56">
        <f t="shared" si="26"/>
        <v>1236878</v>
      </c>
    </row>
    <row r="15" spans="1:163" x14ac:dyDescent="0.25">
      <c r="A15" s="2">
        <f t="shared" si="75"/>
        <v>14</v>
      </c>
      <c r="B15" s="2" t="s">
        <v>6</v>
      </c>
      <c r="C15" s="2" t="str">
        <f t="shared" si="27"/>
        <v>020208</v>
      </c>
      <c r="D15" s="2">
        <v>2</v>
      </c>
      <c r="E15" s="2">
        <v>2</v>
      </c>
      <c r="F15" s="2">
        <v>8</v>
      </c>
      <c r="G15" s="11" t="s">
        <v>9</v>
      </c>
      <c r="H15" s="4"/>
      <c r="I15" s="42" t="s">
        <v>58</v>
      </c>
      <c r="J15" s="9">
        <v>80</v>
      </c>
      <c r="K15" s="5"/>
      <c r="L15" s="6" t="s">
        <v>306</v>
      </c>
      <c r="M15" s="24" t="s">
        <v>178</v>
      </c>
      <c r="N15" s="7">
        <f t="shared" si="76"/>
        <v>1126000</v>
      </c>
      <c r="O15" s="8">
        <v>53</v>
      </c>
      <c r="P15" s="25">
        <v>41228</v>
      </c>
      <c r="Q15" s="8" t="str">
        <f t="shared" si="28"/>
        <v>2DA-NOV</v>
      </c>
      <c r="R15" s="26">
        <v>0.1</v>
      </c>
      <c r="S15" s="41" t="s">
        <v>34</v>
      </c>
      <c r="T15" s="8" t="s">
        <v>353</v>
      </c>
      <c r="U15" s="8"/>
      <c r="V15" s="7">
        <v>563000</v>
      </c>
      <c r="W15" s="7">
        <f>+V15*0.4</f>
        <v>225200</v>
      </c>
      <c r="X15" s="7">
        <f t="shared" si="29"/>
        <v>337800</v>
      </c>
      <c r="Y15" s="7">
        <v>0</v>
      </c>
      <c r="Z15" s="7">
        <f t="shared" si="30"/>
        <v>225200</v>
      </c>
      <c r="AA15" s="148" t="str">
        <f t="shared" si="31"/>
        <v>40%</v>
      </c>
      <c r="AB15" s="148">
        <f t="shared" si="32"/>
        <v>0.6</v>
      </c>
      <c r="AC15" s="25">
        <f t="shared" ca="1" si="103"/>
        <v>41118</v>
      </c>
      <c r="AD15" s="25">
        <f t="shared" ca="1" si="103"/>
        <v>41118</v>
      </c>
      <c r="AE15" s="25">
        <f t="shared" ca="1" si="103"/>
        <v>41118</v>
      </c>
      <c r="AF15" s="8"/>
      <c r="AG15" s="59" t="str">
        <f t="shared" ca="1" si="34"/>
        <v>NA</v>
      </c>
      <c r="AH15" s="55"/>
      <c r="AI15" s="55"/>
      <c r="AJ15" s="55"/>
      <c r="AK15" s="55"/>
      <c r="AL15" s="55"/>
      <c r="AM15" s="55"/>
      <c r="AN15" s="8"/>
      <c r="AO15" s="8"/>
      <c r="AP15" s="8"/>
      <c r="AQ15" s="8"/>
      <c r="AR15" s="59" t="str">
        <f t="shared" si="90"/>
        <v>NA</v>
      </c>
      <c r="AS15" s="59" t="str">
        <f t="shared" si="91"/>
        <v/>
      </c>
      <c r="AT15" s="59"/>
      <c r="AU15" s="59" t="str">
        <f t="shared" si="1"/>
        <v>ND</v>
      </c>
      <c r="AV15" s="66" t="s">
        <v>73</v>
      </c>
      <c r="AW15" s="66" t="s">
        <v>38</v>
      </c>
      <c r="AX15" s="66" t="s">
        <v>82</v>
      </c>
      <c r="AY15" s="66" t="s">
        <v>171</v>
      </c>
      <c r="AZ15" s="25">
        <v>41075</v>
      </c>
      <c r="BA15" s="8" t="s">
        <v>390</v>
      </c>
      <c r="BB15" s="25">
        <v>41080</v>
      </c>
      <c r="BC15" s="25">
        <v>41197</v>
      </c>
      <c r="BD15" s="8"/>
      <c r="BE15" s="8"/>
      <c r="BF15" s="8"/>
      <c r="BG15" s="8"/>
      <c r="BH15" s="8"/>
      <c r="BI15" s="8"/>
      <c r="BJ15" s="8"/>
      <c r="BK15" s="59" t="s">
        <v>373</v>
      </c>
      <c r="BL15" s="59" t="s">
        <v>378</v>
      </c>
      <c r="BM15" s="59" t="s">
        <v>378</v>
      </c>
      <c r="BN15" s="164">
        <v>0.01</v>
      </c>
      <c r="BO15" s="165">
        <f t="shared" si="37"/>
        <v>3753.3333333333335</v>
      </c>
      <c r="BP15" s="165">
        <f t="shared" ref="BP15:BQ15" si="106">BO15</f>
        <v>3753.3333333333335</v>
      </c>
      <c r="BQ15" s="165">
        <f t="shared" si="106"/>
        <v>3753.3333333333335</v>
      </c>
      <c r="BR15" s="162">
        <v>41090</v>
      </c>
      <c r="BS15" s="59"/>
      <c r="BT15" s="59"/>
      <c r="BU15" s="59"/>
      <c r="BV15" s="59" t="str">
        <f t="shared" si="83"/>
        <v>2DA-JUN-2012</v>
      </c>
      <c r="BW15" s="59" t="str">
        <f t="shared" si="84"/>
        <v>ND</v>
      </c>
      <c r="BX15" s="59" t="str">
        <f t="shared" si="85"/>
        <v>ND</v>
      </c>
      <c r="BY15" s="59" t="str">
        <f t="shared" si="86"/>
        <v>ND</v>
      </c>
      <c r="BZ15" s="59" t="str">
        <f t="shared" si="3"/>
        <v>SEM 24</v>
      </c>
      <c r="CA15" s="59" t="str">
        <f t="shared" si="4"/>
        <v>JUN</v>
      </c>
      <c r="CB15" s="59" t="str">
        <f t="shared" si="5"/>
        <v>NA</v>
      </c>
      <c r="CC15" s="59" t="str">
        <f t="shared" si="6"/>
        <v/>
      </c>
      <c r="CD15" s="59" t="str">
        <f t="shared" si="7"/>
        <v>NA</v>
      </c>
      <c r="CE15" s="59" t="str">
        <f t="shared" si="8"/>
        <v/>
      </c>
      <c r="CF15" s="59" t="str">
        <f t="shared" si="9"/>
        <v>1RA-OCT</v>
      </c>
      <c r="CG15" s="59" t="str">
        <f t="shared" ca="1" si="10"/>
        <v>7MA SEM</v>
      </c>
      <c r="CH15" s="59" t="str">
        <f t="shared" ca="1" si="11"/>
        <v>NA</v>
      </c>
      <c r="CI15" s="59" t="str">
        <f t="shared" ca="1" si="12"/>
        <v>HASTA 5 DIAS</v>
      </c>
      <c r="CJ15" s="59" t="str">
        <f t="shared" ca="1" si="13"/>
        <v>HASTA 5 DIAS</v>
      </c>
      <c r="CK15" s="59" t="str">
        <f t="shared" ca="1" si="14"/>
        <v>HASTA 5 DIAS</v>
      </c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>
        <f t="shared" si="43"/>
        <v>0</v>
      </c>
      <c r="DH15" s="8">
        <f t="shared" si="79"/>
        <v>0</v>
      </c>
      <c r="DI15" s="8">
        <f t="shared" si="44"/>
        <v>0</v>
      </c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59" t="str">
        <f t="shared" si="45"/>
        <v>NA</v>
      </c>
      <c r="DU15" s="59" t="str">
        <f t="shared" si="46"/>
        <v>NA</v>
      </c>
      <c r="DV15" s="59" t="str">
        <f t="shared" si="47"/>
        <v>NA</v>
      </c>
      <c r="DW15" s="59" t="str">
        <f t="shared" si="48"/>
        <v>NA</v>
      </c>
      <c r="DX15" s="59" t="str">
        <f t="shared" si="49"/>
        <v>NA</v>
      </c>
      <c r="DY15" s="59" t="str">
        <f t="shared" si="50"/>
        <v>NA</v>
      </c>
      <c r="DZ15" s="59" t="str">
        <f t="shared" si="51"/>
        <v>NA</v>
      </c>
      <c r="EA15" s="59" t="str">
        <f t="shared" si="52"/>
        <v>NA</v>
      </c>
      <c r="EB15" s="59" t="str">
        <f t="shared" si="53"/>
        <v>NA</v>
      </c>
      <c r="EC15" s="59" t="str">
        <f t="shared" si="54"/>
        <v>NA</v>
      </c>
      <c r="ED15" s="59" t="str">
        <f t="shared" si="55"/>
        <v/>
      </c>
      <c r="EE15" s="59" t="str">
        <f t="shared" si="56"/>
        <v/>
      </c>
      <c r="EF15" s="59" t="str">
        <f t="shared" si="57"/>
        <v/>
      </c>
      <c r="EG15" s="59" t="str">
        <f t="shared" si="58"/>
        <v/>
      </c>
      <c r="EH15" s="59" t="str">
        <f t="shared" si="59"/>
        <v/>
      </c>
      <c r="EI15" s="59" t="str">
        <f t="shared" si="60"/>
        <v/>
      </c>
      <c r="EJ15" s="59" t="str">
        <f t="shared" si="61"/>
        <v/>
      </c>
      <c r="EK15" s="59" t="str">
        <f t="shared" si="62"/>
        <v/>
      </c>
      <c r="EL15" s="59" t="str">
        <f t="shared" si="63"/>
        <v/>
      </c>
      <c r="EM15" s="59" t="str">
        <f t="shared" si="64"/>
        <v/>
      </c>
      <c r="EN15" s="59" t="str">
        <f t="shared" si="65"/>
        <v/>
      </c>
      <c r="EO15" s="59" t="str">
        <f t="shared" si="66"/>
        <v/>
      </c>
      <c r="EP15" s="59" t="str">
        <f t="shared" si="67"/>
        <v/>
      </c>
      <c r="EQ15" s="59" t="str">
        <f t="shared" si="68"/>
        <v/>
      </c>
      <c r="ER15" s="59" t="str">
        <f t="shared" si="69"/>
        <v/>
      </c>
      <c r="ES15" s="59" t="str">
        <f t="shared" si="70"/>
        <v/>
      </c>
      <c r="ET15" s="59" t="str">
        <f t="shared" si="71"/>
        <v/>
      </c>
      <c r="EU15" s="59" t="str">
        <f t="shared" si="72"/>
        <v/>
      </c>
      <c r="EV15" s="59" t="str">
        <f t="shared" si="73"/>
        <v/>
      </c>
      <c r="EW15" s="59" t="str">
        <f t="shared" si="74"/>
        <v/>
      </c>
      <c r="EX15" s="56">
        <f t="shared" si="26"/>
        <v>1126000</v>
      </c>
    </row>
    <row r="16" spans="1:163" x14ac:dyDescent="0.25">
      <c r="A16" s="2">
        <f t="shared" si="75"/>
        <v>15</v>
      </c>
      <c r="B16" s="2" t="s">
        <v>6</v>
      </c>
      <c r="C16" s="2" t="str">
        <f t="shared" si="27"/>
        <v>020209</v>
      </c>
      <c r="D16" s="2">
        <v>2</v>
      </c>
      <c r="E16" s="2">
        <v>2</v>
      </c>
      <c r="F16" s="13">
        <v>9</v>
      </c>
      <c r="G16" s="14" t="s">
        <v>9</v>
      </c>
      <c r="H16" s="130"/>
      <c r="I16" s="42" t="s">
        <v>58</v>
      </c>
      <c r="J16" s="9">
        <v>80</v>
      </c>
      <c r="K16" s="5"/>
      <c r="L16" s="6" t="s">
        <v>306</v>
      </c>
      <c r="M16" s="24" t="s">
        <v>178</v>
      </c>
      <c r="N16" s="7">
        <f t="shared" si="76"/>
        <v>1126000</v>
      </c>
      <c r="O16" s="8">
        <v>54</v>
      </c>
      <c r="P16" s="25">
        <v>41228</v>
      </c>
      <c r="Q16" s="8" t="str">
        <f t="shared" si="28"/>
        <v>2DA-NOV</v>
      </c>
      <c r="R16" s="26">
        <v>0.1</v>
      </c>
      <c r="S16" s="41" t="s">
        <v>34</v>
      </c>
      <c r="T16" s="8" t="s">
        <v>353</v>
      </c>
      <c r="U16" s="8"/>
      <c r="V16" s="7">
        <v>563000</v>
      </c>
      <c r="W16" s="7">
        <f t="shared" ref="W16:W25" si="107">+V16*0.4</f>
        <v>225200</v>
      </c>
      <c r="X16" s="7">
        <f t="shared" si="29"/>
        <v>337800</v>
      </c>
      <c r="Y16" s="7">
        <v>0</v>
      </c>
      <c r="Z16" s="7">
        <f t="shared" si="30"/>
        <v>225200</v>
      </c>
      <c r="AA16" s="148" t="str">
        <f t="shared" si="31"/>
        <v>40%</v>
      </c>
      <c r="AB16" s="148">
        <f t="shared" si="32"/>
        <v>0.6</v>
      </c>
      <c r="AC16" s="25">
        <f t="shared" ca="1" si="103"/>
        <v>41118</v>
      </c>
      <c r="AD16" s="25">
        <f t="shared" ca="1" si="103"/>
        <v>41118</v>
      </c>
      <c r="AE16" s="25">
        <f t="shared" ca="1" si="103"/>
        <v>41118</v>
      </c>
      <c r="AF16" s="8"/>
      <c r="AG16" s="59" t="str">
        <f t="shared" ca="1" si="34"/>
        <v>NA</v>
      </c>
      <c r="AH16" s="55"/>
      <c r="AI16" s="55"/>
      <c r="AJ16" s="55"/>
      <c r="AK16" s="55"/>
      <c r="AL16" s="55"/>
      <c r="AM16" s="55"/>
      <c r="AN16" s="8"/>
      <c r="AO16" s="8"/>
      <c r="AP16" s="8"/>
      <c r="AQ16" s="8"/>
      <c r="AR16" s="59" t="str">
        <f t="shared" si="90"/>
        <v>NA</v>
      </c>
      <c r="AS16" s="59" t="str">
        <f t="shared" si="91"/>
        <v/>
      </c>
      <c r="AT16" s="59"/>
      <c r="AU16" s="59" t="str">
        <f t="shared" si="1"/>
        <v>ND</v>
      </c>
      <c r="AV16" s="66"/>
      <c r="AW16" s="66"/>
      <c r="AX16" s="66"/>
      <c r="AY16" s="66"/>
      <c r="AZ16" s="8"/>
      <c r="BA16" s="8" t="s">
        <v>37</v>
      </c>
      <c r="BB16" s="8"/>
      <c r="BC16" s="8"/>
      <c r="BD16" s="8"/>
      <c r="BE16" s="8"/>
      <c r="BF16" s="8"/>
      <c r="BG16" s="8"/>
      <c r="BH16" s="8"/>
      <c r="BI16" s="8"/>
      <c r="BJ16" s="8"/>
      <c r="BK16" s="59"/>
      <c r="BL16" s="59"/>
      <c r="BM16" s="59"/>
      <c r="BN16" s="164">
        <v>0.01</v>
      </c>
      <c r="BO16" s="165">
        <f t="shared" si="37"/>
        <v>3753.3333333333335</v>
      </c>
      <c r="BP16" s="165">
        <f t="shared" ref="BP16:BQ16" si="108">BO16</f>
        <v>3753.3333333333335</v>
      </c>
      <c r="BQ16" s="165">
        <f t="shared" si="108"/>
        <v>3753.3333333333335</v>
      </c>
      <c r="BR16" s="59"/>
      <c r="BS16" s="59"/>
      <c r="BT16" s="59"/>
      <c r="BU16" s="59"/>
      <c r="BV16" s="59" t="str">
        <f t="shared" si="83"/>
        <v>ND</v>
      </c>
      <c r="BW16" s="59" t="str">
        <f t="shared" si="84"/>
        <v>ND</v>
      </c>
      <c r="BX16" s="59" t="str">
        <f t="shared" si="85"/>
        <v>ND</v>
      </c>
      <c r="BY16" s="59" t="str">
        <f t="shared" si="86"/>
        <v>ND</v>
      </c>
      <c r="BZ16" s="59" t="str">
        <f t="shared" si="3"/>
        <v>NA</v>
      </c>
      <c r="CA16" s="59" t="str">
        <f t="shared" si="4"/>
        <v/>
      </c>
      <c r="CB16" s="59" t="str">
        <f t="shared" si="5"/>
        <v>NA</v>
      </c>
      <c r="CC16" s="59" t="str">
        <f t="shared" si="6"/>
        <v/>
      </c>
      <c r="CD16" s="59" t="str">
        <f t="shared" si="7"/>
        <v>NA</v>
      </c>
      <c r="CE16" s="59" t="str">
        <f t="shared" si="8"/>
        <v/>
      </c>
      <c r="CF16" s="59" t="str">
        <f t="shared" si="9"/>
        <v>NA</v>
      </c>
      <c r="CG16" s="59" t="str">
        <f t="shared" ca="1" si="10"/>
        <v>NA</v>
      </c>
      <c r="CH16" s="59" t="str">
        <f t="shared" ca="1" si="11"/>
        <v>NA</v>
      </c>
      <c r="CI16" s="59" t="str">
        <f t="shared" ca="1" si="12"/>
        <v>HASTA 5 DIAS</v>
      </c>
      <c r="CJ16" s="59" t="str">
        <f t="shared" ca="1" si="13"/>
        <v>HASTA 5 DIAS</v>
      </c>
      <c r="CK16" s="59" t="str">
        <f t="shared" ca="1" si="14"/>
        <v>HASTA 5 DIAS</v>
      </c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>
        <f t="shared" si="43"/>
        <v>0</v>
      </c>
      <c r="DH16" s="8">
        <f t="shared" si="79"/>
        <v>0</v>
      </c>
      <c r="DI16" s="8">
        <f t="shared" si="44"/>
        <v>0</v>
      </c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59" t="str">
        <f t="shared" si="45"/>
        <v>NA</v>
      </c>
      <c r="DU16" s="59" t="str">
        <f t="shared" si="46"/>
        <v>NA</v>
      </c>
      <c r="DV16" s="59" t="str">
        <f t="shared" si="47"/>
        <v>NA</v>
      </c>
      <c r="DW16" s="59" t="str">
        <f t="shared" si="48"/>
        <v>NA</v>
      </c>
      <c r="DX16" s="59" t="str">
        <f t="shared" si="49"/>
        <v>NA</v>
      </c>
      <c r="DY16" s="59" t="str">
        <f t="shared" si="50"/>
        <v>NA</v>
      </c>
      <c r="DZ16" s="59" t="str">
        <f t="shared" si="51"/>
        <v>NA</v>
      </c>
      <c r="EA16" s="59" t="str">
        <f t="shared" si="52"/>
        <v>NA</v>
      </c>
      <c r="EB16" s="59" t="str">
        <f t="shared" si="53"/>
        <v>NA</v>
      </c>
      <c r="EC16" s="59" t="str">
        <f t="shared" si="54"/>
        <v>NA</v>
      </c>
      <c r="ED16" s="59" t="str">
        <f t="shared" si="55"/>
        <v/>
      </c>
      <c r="EE16" s="59" t="str">
        <f t="shared" si="56"/>
        <v/>
      </c>
      <c r="EF16" s="59" t="str">
        <f t="shared" si="57"/>
        <v/>
      </c>
      <c r="EG16" s="59" t="str">
        <f t="shared" si="58"/>
        <v/>
      </c>
      <c r="EH16" s="59" t="str">
        <f t="shared" si="59"/>
        <v/>
      </c>
      <c r="EI16" s="59" t="str">
        <f t="shared" si="60"/>
        <v/>
      </c>
      <c r="EJ16" s="59" t="str">
        <f t="shared" si="61"/>
        <v/>
      </c>
      <c r="EK16" s="59" t="str">
        <f t="shared" si="62"/>
        <v/>
      </c>
      <c r="EL16" s="59" t="str">
        <f t="shared" si="63"/>
        <v/>
      </c>
      <c r="EM16" s="59" t="str">
        <f t="shared" si="64"/>
        <v/>
      </c>
      <c r="EN16" s="59" t="str">
        <f t="shared" si="65"/>
        <v/>
      </c>
      <c r="EO16" s="59" t="str">
        <f t="shared" si="66"/>
        <v/>
      </c>
      <c r="EP16" s="59" t="str">
        <f t="shared" si="67"/>
        <v/>
      </c>
      <c r="EQ16" s="59" t="str">
        <f t="shared" si="68"/>
        <v/>
      </c>
      <c r="ER16" s="59" t="str">
        <f t="shared" si="69"/>
        <v/>
      </c>
      <c r="ES16" s="59" t="str">
        <f t="shared" si="70"/>
        <v/>
      </c>
      <c r="ET16" s="59" t="str">
        <f t="shared" si="71"/>
        <v/>
      </c>
      <c r="EU16" s="59" t="str">
        <f t="shared" si="72"/>
        <v/>
      </c>
      <c r="EV16" s="59" t="str">
        <f t="shared" si="73"/>
        <v/>
      </c>
      <c r="EW16" s="59" t="str">
        <f t="shared" si="74"/>
        <v/>
      </c>
      <c r="EX16" s="56">
        <f t="shared" si="26"/>
        <v>1126000</v>
      </c>
    </row>
    <row r="17" spans="1:154" x14ac:dyDescent="0.25">
      <c r="A17" s="2">
        <f t="shared" si="75"/>
        <v>16</v>
      </c>
      <c r="B17" s="2" t="s">
        <v>6</v>
      </c>
      <c r="C17" s="2" t="str">
        <f t="shared" si="27"/>
        <v>020210</v>
      </c>
      <c r="D17" s="2">
        <v>2</v>
      </c>
      <c r="E17" s="2">
        <v>2</v>
      </c>
      <c r="F17" s="2">
        <v>10</v>
      </c>
      <c r="G17" s="11" t="s">
        <v>9</v>
      </c>
      <c r="H17" s="4"/>
      <c r="I17" s="42" t="s">
        <v>58</v>
      </c>
      <c r="J17" s="9">
        <v>80</v>
      </c>
      <c r="K17" s="9"/>
      <c r="L17" s="10" t="s">
        <v>8</v>
      </c>
      <c r="M17" s="24" t="s">
        <v>178</v>
      </c>
      <c r="N17" s="7">
        <f t="shared" si="76"/>
        <v>1135000</v>
      </c>
      <c r="O17" s="8">
        <v>55</v>
      </c>
      <c r="P17" s="25">
        <v>41228</v>
      </c>
      <c r="Q17" s="8" t="str">
        <f t="shared" si="28"/>
        <v>2DA-NOV</v>
      </c>
      <c r="R17" s="26">
        <v>0.1</v>
      </c>
      <c r="S17" s="41" t="s">
        <v>34</v>
      </c>
      <c r="T17" s="8" t="s">
        <v>353</v>
      </c>
      <c r="U17" s="8"/>
      <c r="V17" s="7">
        <v>567500</v>
      </c>
      <c r="W17" s="7">
        <f t="shared" si="107"/>
        <v>227000</v>
      </c>
      <c r="X17" s="7">
        <f t="shared" si="29"/>
        <v>340500</v>
      </c>
      <c r="Y17" s="7">
        <v>0</v>
      </c>
      <c r="Z17" s="7">
        <f t="shared" si="30"/>
        <v>227000</v>
      </c>
      <c r="AA17" s="148" t="str">
        <f t="shared" si="31"/>
        <v>40%</v>
      </c>
      <c r="AB17" s="148">
        <f t="shared" si="32"/>
        <v>0.6</v>
      </c>
      <c r="AC17" s="25">
        <f t="shared" ca="1" si="103"/>
        <v>41118</v>
      </c>
      <c r="AD17" s="25">
        <f t="shared" ca="1" si="103"/>
        <v>41118</v>
      </c>
      <c r="AE17" s="25">
        <f t="shared" ca="1" si="103"/>
        <v>41118</v>
      </c>
      <c r="AF17" s="8"/>
      <c r="AG17" s="59" t="str">
        <f t="shared" ca="1" si="34"/>
        <v>NA</v>
      </c>
      <c r="AH17" s="55"/>
      <c r="AI17" s="55"/>
      <c r="AJ17" s="55"/>
      <c r="AK17" s="55"/>
      <c r="AL17" s="55"/>
      <c r="AM17" s="55"/>
      <c r="AN17" s="8"/>
      <c r="AO17" s="8"/>
      <c r="AP17" s="8"/>
      <c r="AQ17" s="8"/>
      <c r="AR17" s="59" t="str">
        <f t="shared" si="90"/>
        <v>NA</v>
      </c>
      <c r="AS17" s="59" t="str">
        <f t="shared" si="91"/>
        <v/>
      </c>
      <c r="AT17" s="59"/>
      <c r="AU17" s="59" t="str">
        <f t="shared" si="1"/>
        <v>ND</v>
      </c>
      <c r="AV17" s="66"/>
      <c r="AW17" s="66"/>
      <c r="AX17" s="66"/>
      <c r="AY17" s="66"/>
      <c r="AZ17" s="8"/>
      <c r="BA17" s="8" t="s">
        <v>37</v>
      </c>
      <c r="BB17" s="8"/>
      <c r="BC17" s="8"/>
      <c r="BD17" s="8"/>
      <c r="BE17" s="8"/>
      <c r="BF17" s="8"/>
      <c r="BG17" s="8"/>
      <c r="BH17" s="8"/>
      <c r="BI17" s="8"/>
      <c r="BJ17" s="8"/>
      <c r="BK17" s="59"/>
      <c r="BL17" s="59"/>
      <c r="BM17" s="59"/>
      <c r="BN17" s="164">
        <v>0.01</v>
      </c>
      <c r="BO17" s="165">
        <f t="shared" si="37"/>
        <v>3783.3333333333335</v>
      </c>
      <c r="BP17" s="165">
        <f t="shared" ref="BP17:BQ17" si="109">BO17</f>
        <v>3783.3333333333335</v>
      </c>
      <c r="BQ17" s="165">
        <f t="shared" si="109"/>
        <v>3783.3333333333335</v>
      </c>
      <c r="BR17" s="59"/>
      <c r="BS17" s="59"/>
      <c r="BT17" s="59"/>
      <c r="BU17" s="59"/>
      <c r="BV17" s="59" t="str">
        <f t="shared" si="83"/>
        <v>ND</v>
      </c>
      <c r="BW17" s="59" t="str">
        <f t="shared" si="84"/>
        <v>ND</v>
      </c>
      <c r="BX17" s="59" t="str">
        <f t="shared" si="85"/>
        <v>ND</v>
      </c>
      <c r="BY17" s="59" t="str">
        <f t="shared" si="86"/>
        <v>ND</v>
      </c>
      <c r="BZ17" s="59" t="str">
        <f t="shared" si="3"/>
        <v>NA</v>
      </c>
      <c r="CA17" s="59" t="str">
        <f t="shared" si="4"/>
        <v/>
      </c>
      <c r="CB17" s="59" t="str">
        <f t="shared" si="5"/>
        <v>NA</v>
      </c>
      <c r="CC17" s="59" t="str">
        <f t="shared" si="6"/>
        <v/>
      </c>
      <c r="CD17" s="59" t="str">
        <f t="shared" si="7"/>
        <v>NA</v>
      </c>
      <c r="CE17" s="59" t="str">
        <f t="shared" si="8"/>
        <v/>
      </c>
      <c r="CF17" s="59" t="str">
        <f t="shared" si="9"/>
        <v>NA</v>
      </c>
      <c r="CG17" s="59" t="str">
        <f t="shared" ca="1" si="10"/>
        <v>NA</v>
      </c>
      <c r="CH17" s="59" t="str">
        <f t="shared" ca="1" si="11"/>
        <v>NA</v>
      </c>
      <c r="CI17" s="59" t="str">
        <f t="shared" ca="1" si="12"/>
        <v>HASTA 5 DIAS</v>
      </c>
      <c r="CJ17" s="59" t="str">
        <f t="shared" ca="1" si="13"/>
        <v>HASTA 5 DIAS</v>
      </c>
      <c r="CK17" s="59" t="str">
        <f t="shared" ca="1" si="14"/>
        <v>HASTA 5 DIAS</v>
      </c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>
        <f t="shared" si="43"/>
        <v>0</v>
      </c>
      <c r="DH17" s="8">
        <f t="shared" si="79"/>
        <v>0</v>
      </c>
      <c r="DI17" s="8">
        <f t="shared" si="44"/>
        <v>0</v>
      </c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59" t="str">
        <f t="shared" si="45"/>
        <v>NA</v>
      </c>
      <c r="DU17" s="59" t="str">
        <f t="shared" si="46"/>
        <v>NA</v>
      </c>
      <c r="DV17" s="59" t="str">
        <f t="shared" si="47"/>
        <v>NA</v>
      </c>
      <c r="DW17" s="59" t="str">
        <f t="shared" si="48"/>
        <v>NA</v>
      </c>
      <c r="DX17" s="59" t="str">
        <f t="shared" si="49"/>
        <v>NA</v>
      </c>
      <c r="DY17" s="59" t="str">
        <f t="shared" si="50"/>
        <v>NA</v>
      </c>
      <c r="DZ17" s="59" t="str">
        <f t="shared" si="51"/>
        <v>NA</v>
      </c>
      <c r="EA17" s="59" t="str">
        <f t="shared" si="52"/>
        <v>NA</v>
      </c>
      <c r="EB17" s="59" t="str">
        <f t="shared" si="53"/>
        <v>NA</v>
      </c>
      <c r="EC17" s="59" t="str">
        <f t="shared" si="54"/>
        <v>NA</v>
      </c>
      <c r="ED17" s="59" t="str">
        <f t="shared" si="55"/>
        <v/>
      </c>
      <c r="EE17" s="59" t="str">
        <f t="shared" si="56"/>
        <v/>
      </c>
      <c r="EF17" s="59" t="str">
        <f t="shared" si="57"/>
        <v/>
      </c>
      <c r="EG17" s="59" t="str">
        <f t="shared" si="58"/>
        <v/>
      </c>
      <c r="EH17" s="59" t="str">
        <f t="shared" si="59"/>
        <v/>
      </c>
      <c r="EI17" s="59" t="str">
        <f t="shared" si="60"/>
        <v/>
      </c>
      <c r="EJ17" s="59" t="str">
        <f t="shared" si="61"/>
        <v/>
      </c>
      <c r="EK17" s="59" t="str">
        <f t="shared" si="62"/>
        <v/>
      </c>
      <c r="EL17" s="59" t="str">
        <f t="shared" si="63"/>
        <v/>
      </c>
      <c r="EM17" s="59" t="str">
        <f t="shared" si="64"/>
        <v/>
      </c>
      <c r="EN17" s="59" t="str">
        <f t="shared" si="65"/>
        <v/>
      </c>
      <c r="EO17" s="59" t="str">
        <f t="shared" si="66"/>
        <v/>
      </c>
      <c r="EP17" s="59" t="str">
        <f t="shared" si="67"/>
        <v/>
      </c>
      <c r="EQ17" s="59" t="str">
        <f t="shared" si="68"/>
        <v/>
      </c>
      <c r="ER17" s="59" t="str">
        <f t="shared" si="69"/>
        <v/>
      </c>
      <c r="ES17" s="59" t="str">
        <f t="shared" si="70"/>
        <v/>
      </c>
      <c r="ET17" s="59" t="str">
        <f t="shared" si="71"/>
        <v/>
      </c>
      <c r="EU17" s="59" t="str">
        <f t="shared" si="72"/>
        <v/>
      </c>
      <c r="EV17" s="59" t="str">
        <f t="shared" si="73"/>
        <v/>
      </c>
      <c r="EW17" s="59" t="str">
        <f t="shared" si="74"/>
        <v/>
      </c>
      <c r="EX17" s="56">
        <f t="shared" si="26"/>
        <v>1135000</v>
      </c>
    </row>
    <row r="18" spans="1:154" x14ac:dyDescent="0.25">
      <c r="A18" s="2">
        <f t="shared" si="75"/>
        <v>17</v>
      </c>
      <c r="B18" s="2" t="s">
        <v>6</v>
      </c>
      <c r="C18" s="2" t="str">
        <f t="shared" si="27"/>
        <v>020211</v>
      </c>
      <c r="D18" s="2">
        <v>2</v>
      </c>
      <c r="E18" s="2">
        <v>2</v>
      </c>
      <c r="F18" s="2">
        <v>11</v>
      </c>
      <c r="G18" s="11" t="s">
        <v>9</v>
      </c>
      <c r="H18" s="4"/>
      <c r="I18" s="42" t="s">
        <v>58</v>
      </c>
      <c r="J18" s="9">
        <v>80</v>
      </c>
      <c r="K18" s="5"/>
      <c r="L18" s="6" t="s">
        <v>306</v>
      </c>
      <c r="M18" s="24" t="s">
        <v>178</v>
      </c>
      <c r="N18" s="7">
        <f t="shared" si="76"/>
        <v>1126000</v>
      </c>
      <c r="O18" s="8">
        <v>56</v>
      </c>
      <c r="P18" s="25">
        <v>41228</v>
      </c>
      <c r="Q18" s="8" t="str">
        <f t="shared" si="28"/>
        <v>2DA-NOV</v>
      </c>
      <c r="R18" s="26">
        <v>0.1</v>
      </c>
      <c r="S18" s="41" t="s">
        <v>34</v>
      </c>
      <c r="T18" s="8" t="s">
        <v>353</v>
      </c>
      <c r="U18" s="8"/>
      <c r="V18" s="7">
        <v>563000</v>
      </c>
      <c r="W18" s="7">
        <f t="shared" si="107"/>
        <v>225200</v>
      </c>
      <c r="X18" s="7">
        <f t="shared" si="29"/>
        <v>337800</v>
      </c>
      <c r="Y18" s="7">
        <v>0</v>
      </c>
      <c r="Z18" s="7">
        <f t="shared" si="30"/>
        <v>225200</v>
      </c>
      <c r="AA18" s="148" t="str">
        <f t="shared" si="31"/>
        <v>40%</v>
      </c>
      <c r="AB18" s="148">
        <f t="shared" si="32"/>
        <v>0.6</v>
      </c>
      <c r="AC18" s="25">
        <f t="shared" ca="1" si="103"/>
        <v>41118</v>
      </c>
      <c r="AD18" s="25">
        <f t="shared" ca="1" si="103"/>
        <v>41118</v>
      </c>
      <c r="AE18" s="25">
        <f t="shared" ca="1" si="103"/>
        <v>41118</v>
      </c>
      <c r="AF18" s="8"/>
      <c r="AG18" s="59" t="str">
        <f t="shared" ca="1" si="34"/>
        <v>NA</v>
      </c>
      <c r="AH18" s="55"/>
      <c r="AI18" s="55"/>
      <c r="AJ18" s="55"/>
      <c r="AK18" s="55"/>
      <c r="AL18" s="55"/>
      <c r="AM18" s="55"/>
      <c r="AN18" s="8"/>
      <c r="AO18" s="8"/>
      <c r="AP18" s="8"/>
      <c r="AQ18" s="8"/>
      <c r="AR18" s="59" t="str">
        <f t="shared" si="90"/>
        <v>NA</v>
      </c>
      <c r="AS18" s="59" t="str">
        <f t="shared" si="91"/>
        <v/>
      </c>
      <c r="AT18" s="59"/>
      <c r="AU18" s="59" t="str">
        <f t="shared" si="1"/>
        <v>ND</v>
      </c>
      <c r="AV18" s="66"/>
      <c r="AW18" s="66"/>
      <c r="AX18" s="66"/>
      <c r="AY18" s="66"/>
      <c r="AZ18" s="8"/>
      <c r="BA18" s="8" t="s">
        <v>37</v>
      </c>
      <c r="BB18" s="8"/>
      <c r="BC18" s="8"/>
      <c r="BD18" s="8"/>
      <c r="BE18" s="8"/>
      <c r="BF18" s="8"/>
      <c r="BG18" s="8"/>
      <c r="BH18" s="8"/>
      <c r="BI18" s="8"/>
      <c r="BJ18" s="8"/>
      <c r="BK18" s="59"/>
      <c r="BL18" s="59"/>
      <c r="BM18" s="59"/>
      <c r="BN18" s="164">
        <v>0.01</v>
      </c>
      <c r="BO18" s="165">
        <f t="shared" si="37"/>
        <v>3753.3333333333335</v>
      </c>
      <c r="BP18" s="165">
        <f t="shared" ref="BP18:BQ18" si="110">BO18</f>
        <v>3753.3333333333335</v>
      </c>
      <c r="BQ18" s="165">
        <f t="shared" si="110"/>
        <v>3753.3333333333335</v>
      </c>
      <c r="BR18" s="59"/>
      <c r="BS18" s="59"/>
      <c r="BT18" s="59"/>
      <c r="BU18" s="59"/>
      <c r="BV18" s="59" t="str">
        <f t="shared" si="83"/>
        <v>ND</v>
      </c>
      <c r="BW18" s="59" t="str">
        <f t="shared" si="84"/>
        <v>ND</v>
      </c>
      <c r="BX18" s="59" t="str">
        <f t="shared" si="85"/>
        <v>ND</v>
      </c>
      <c r="BY18" s="59" t="str">
        <f t="shared" si="86"/>
        <v>ND</v>
      </c>
      <c r="BZ18" s="59" t="str">
        <f t="shared" si="3"/>
        <v>NA</v>
      </c>
      <c r="CA18" s="59" t="str">
        <f t="shared" si="4"/>
        <v/>
      </c>
      <c r="CB18" s="59" t="str">
        <f t="shared" si="5"/>
        <v>NA</v>
      </c>
      <c r="CC18" s="59" t="str">
        <f t="shared" si="6"/>
        <v/>
      </c>
      <c r="CD18" s="59" t="str">
        <f t="shared" si="7"/>
        <v>NA</v>
      </c>
      <c r="CE18" s="59" t="str">
        <f t="shared" si="8"/>
        <v/>
      </c>
      <c r="CF18" s="59" t="str">
        <f t="shared" si="9"/>
        <v>NA</v>
      </c>
      <c r="CG18" s="59" t="str">
        <f t="shared" ca="1" si="10"/>
        <v>NA</v>
      </c>
      <c r="CH18" s="59" t="str">
        <f t="shared" ca="1" si="11"/>
        <v>NA</v>
      </c>
      <c r="CI18" s="59" t="str">
        <f t="shared" ca="1" si="12"/>
        <v>HASTA 5 DIAS</v>
      </c>
      <c r="CJ18" s="59" t="str">
        <f t="shared" ca="1" si="13"/>
        <v>HASTA 5 DIAS</v>
      </c>
      <c r="CK18" s="59" t="str">
        <f t="shared" ca="1" si="14"/>
        <v>HASTA 5 DIAS</v>
      </c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>
        <f t="shared" si="43"/>
        <v>0</v>
      </c>
      <c r="DH18" s="8">
        <f t="shared" si="79"/>
        <v>0</v>
      </c>
      <c r="DI18" s="8">
        <f t="shared" si="44"/>
        <v>0</v>
      </c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59" t="str">
        <f t="shared" si="45"/>
        <v>NA</v>
      </c>
      <c r="DU18" s="59" t="str">
        <f t="shared" si="46"/>
        <v>NA</v>
      </c>
      <c r="DV18" s="59" t="str">
        <f t="shared" si="47"/>
        <v>NA</v>
      </c>
      <c r="DW18" s="59" t="str">
        <f t="shared" si="48"/>
        <v>NA</v>
      </c>
      <c r="DX18" s="59" t="str">
        <f t="shared" si="49"/>
        <v>NA</v>
      </c>
      <c r="DY18" s="59" t="str">
        <f t="shared" si="50"/>
        <v>NA</v>
      </c>
      <c r="DZ18" s="59" t="str">
        <f t="shared" si="51"/>
        <v>NA</v>
      </c>
      <c r="EA18" s="59" t="str">
        <f t="shared" si="52"/>
        <v>NA</v>
      </c>
      <c r="EB18" s="59" t="str">
        <f t="shared" si="53"/>
        <v>NA</v>
      </c>
      <c r="EC18" s="59" t="str">
        <f t="shared" si="54"/>
        <v>NA</v>
      </c>
      <c r="ED18" s="59" t="str">
        <f t="shared" si="55"/>
        <v/>
      </c>
      <c r="EE18" s="59" t="str">
        <f t="shared" si="56"/>
        <v/>
      </c>
      <c r="EF18" s="59" t="str">
        <f t="shared" si="57"/>
        <v/>
      </c>
      <c r="EG18" s="59" t="str">
        <f t="shared" si="58"/>
        <v/>
      </c>
      <c r="EH18" s="59" t="str">
        <f t="shared" si="59"/>
        <v/>
      </c>
      <c r="EI18" s="59" t="str">
        <f t="shared" si="60"/>
        <v/>
      </c>
      <c r="EJ18" s="59" t="str">
        <f t="shared" si="61"/>
        <v/>
      </c>
      <c r="EK18" s="59" t="str">
        <f t="shared" si="62"/>
        <v/>
      </c>
      <c r="EL18" s="59" t="str">
        <f t="shared" si="63"/>
        <v/>
      </c>
      <c r="EM18" s="59" t="str">
        <f t="shared" si="64"/>
        <v/>
      </c>
      <c r="EN18" s="59" t="str">
        <f t="shared" si="65"/>
        <v/>
      </c>
      <c r="EO18" s="59" t="str">
        <f t="shared" si="66"/>
        <v/>
      </c>
      <c r="EP18" s="59" t="str">
        <f t="shared" si="67"/>
        <v/>
      </c>
      <c r="EQ18" s="59" t="str">
        <f t="shared" si="68"/>
        <v/>
      </c>
      <c r="ER18" s="59" t="str">
        <f t="shared" si="69"/>
        <v/>
      </c>
      <c r="ES18" s="59" t="str">
        <f t="shared" si="70"/>
        <v/>
      </c>
      <c r="ET18" s="59" t="str">
        <f t="shared" si="71"/>
        <v/>
      </c>
      <c r="EU18" s="59" t="str">
        <f t="shared" si="72"/>
        <v/>
      </c>
      <c r="EV18" s="59" t="str">
        <f t="shared" si="73"/>
        <v/>
      </c>
      <c r="EW18" s="59" t="str">
        <f t="shared" si="74"/>
        <v/>
      </c>
      <c r="EX18" s="56">
        <f t="shared" si="26"/>
        <v>1126000</v>
      </c>
    </row>
    <row r="19" spans="1:154" x14ac:dyDescent="0.25">
      <c r="A19" s="2">
        <f t="shared" si="75"/>
        <v>18</v>
      </c>
      <c r="B19" s="2" t="s">
        <v>6</v>
      </c>
      <c r="C19" s="2" t="str">
        <f t="shared" si="27"/>
        <v>020212</v>
      </c>
      <c r="D19" s="2">
        <v>2</v>
      </c>
      <c r="E19" s="2">
        <v>2</v>
      </c>
      <c r="F19" s="2">
        <v>12</v>
      </c>
      <c r="G19" s="11" t="s">
        <v>9</v>
      </c>
      <c r="H19" s="4"/>
      <c r="I19" s="42" t="s">
        <v>58</v>
      </c>
      <c r="J19" s="9">
        <v>80</v>
      </c>
      <c r="K19" s="5"/>
      <c r="L19" s="6" t="s">
        <v>306</v>
      </c>
      <c r="M19" s="24" t="s">
        <v>178</v>
      </c>
      <c r="N19" s="7">
        <f t="shared" si="76"/>
        <v>1126000</v>
      </c>
      <c r="O19" s="8">
        <v>57</v>
      </c>
      <c r="P19" s="25">
        <v>41236</v>
      </c>
      <c r="Q19" s="8" t="str">
        <f t="shared" si="28"/>
        <v>2DA-NOV</v>
      </c>
      <c r="R19" s="26">
        <v>0.1</v>
      </c>
      <c r="S19" s="41" t="s">
        <v>34</v>
      </c>
      <c r="T19" s="8" t="s">
        <v>353</v>
      </c>
      <c r="U19" s="8"/>
      <c r="V19" s="7">
        <v>563000</v>
      </c>
      <c r="W19" s="7">
        <f t="shared" si="107"/>
        <v>225200</v>
      </c>
      <c r="X19" s="7">
        <f t="shared" si="29"/>
        <v>337800</v>
      </c>
      <c r="Y19" s="7">
        <v>0</v>
      </c>
      <c r="Z19" s="7">
        <f t="shared" si="30"/>
        <v>225200</v>
      </c>
      <c r="AA19" s="148" t="str">
        <f t="shared" si="31"/>
        <v>40%</v>
      </c>
      <c r="AB19" s="148">
        <f t="shared" si="32"/>
        <v>0.6</v>
      </c>
      <c r="AC19" s="25">
        <v>41090</v>
      </c>
      <c r="AD19" s="25">
        <v>41090</v>
      </c>
      <c r="AE19" s="25">
        <v>41090</v>
      </c>
      <c r="AF19" s="8"/>
      <c r="AG19" s="59" t="str">
        <f t="shared" ca="1" si="34"/>
        <v>NA</v>
      </c>
      <c r="AH19" s="55"/>
      <c r="AI19" s="55"/>
      <c r="AJ19" s="55"/>
      <c r="AK19" s="55"/>
      <c r="AL19" s="55"/>
      <c r="AM19" s="55"/>
      <c r="AN19" s="8"/>
      <c r="AO19" s="8"/>
      <c r="AP19" s="8"/>
      <c r="AQ19" s="8"/>
      <c r="AR19" s="59" t="str">
        <f t="shared" si="90"/>
        <v>NA</v>
      </c>
      <c r="AS19" s="59" t="str">
        <f t="shared" si="91"/>
        <v/>
      </c>
      <c r="AT19" s="59"/>
      <c r="AU19" s="59" t="str">
        <f t="shared" si="1"/>
        <v>ND</v>
      </c>
      <c r="AV19" s="66"/>
      <c r="AW19" s="66"/>
      <c r="AX19" s="66"/>
      <c r="AY19" s="66"/>
      <c r="AZ19" s="8"/>
      <c r="BA19" s="8" t="s">
        <v>37</v>
      </c>
      <c r="BB19" s="8"/>
      <c r="BC19" s="8"/>
      <c r="BD19" s="8"/>
      <c r="BE19" s="8"/>
      <c r="BF19" s="8"/>
      <c r="BG19" s="8"/>
      <c r="BH19" s="8"/>
      <c r="BI19" s="8"/>
      <c r="BJ19" s="8"/>
      <c r="BK19" s="59"/>
      <c r="BL19" s="59"/>
      <c r="BM19" s="59"/>
      <c r="BN19" s="164">
        <v>0.01</v>
      </c>
      <c r="BO19" s="165">
        <f t="shared" si="37"/>
        <v>3753.3333333333335</v>
      </c>
      <c r="BP19" s="165">
        <f t="shared" ref="BP19:BQ19" si="111">BO19</f>
        <v>3753.3333333333335</v>
      </c>
      <c r="BQ19" s="165">
        <f t="shared" si="111"/>
        <v>3753.3333333333335</v>
      </c>
      <c r="BR19" s="59"/>
      <c r="BS19" s="59"/>
      <c r="BT19" s="59"/>
      <c r="BU19" s="59"/>
      <c r="BV19" s="59" t="str">
        <f t="shared" si="83"/>
        <v>ND</v>
      </c>
      <c r="BW19" s="59" t="str">
        <f t="shared" si="84"/>
        <v>ND</v>
      </c>
      <c r="BX19" s="59" t="str">
        <f t="shared" si="85"/>
        <v>ND</v>
      </c>
      <c r="BY19" s="59" t="str">
        <f t="shared" si="86"/>
        <v>ND</v>
      </c>
      <c r="BZ19" s="59" t="str">
        <f t="shared" si="3"/>
        <v>NA</v>
      </c>
      <c r="CA19" s="59" t="str">
        <f t="shared" si="4"/>
        <v/>
      </c>
      <c r="CB19" s="59" t="str">
        <f t="shared" si="5"/>
        <v>NA</v>
      </c>
      <c r="CC19" s="59" t="str">
        <f t="shared" si="6"/>
        <v/>
      </c>
      <c r="CD19" s="59" t="str">
        <f t="shared" si="7"/>
        <v>NA</v>
      </c>
      <c r="CE19" s="59" t="str">
        <f t="shared" si="8"/>
        <v/>
      </c>
      <c r="CF19" s="59" t="str">
        <f t="shared" si="9"/>
        <v>NA</v>
      </c>
      <c r="CG19" s="59" t="str">
        <f t="shared" ca="1" si="10"/>
        <v>NA</v>
      </c>
      <c r="CH19" s="59" t="str">
        <f t="shared" ca="1" si="11"/>
        <v>NA</v>
      </c>
      <c r="CI19" s="59" t="str">
        <f t="shared" ca="1" si="12"/>
        <v>DE 31 A 35 DIAS</v>
      </c>
      <c r="CJ19" s="59" t="str">
        <f t="shared" ca="1" si="13"/>
        <v>DE 31 A 35 DIAS</v>
      </c>
      <c r="CK19" s="59" t="str">
        <f t="shared" ca="1" si="14"/>
        <v>DE 31 A 35 DIAS</v>
      </c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>
        <f t="shared" si="43"/>
        <v>0</v>
      </c>
      <c r="DH19" s="8">
        <f t="shared" si="79"/>
        <v>0</v>
      </c>
      <c r="DI19" s="8">
        <f t="shared" si="44"/>
        <v>0</v>
      </c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59" t="str">
        <f t="shared" si="45"/>
        <v>NA</v>
      </c>
      <c r="DU19" s="59" t="str">
        <f t="shared" si="46"/>
        <v>NA</v>
      </c>
      <c r="DV19" s="59" t="str">
        <f t="shared" si="47"/>
        <v>NA</v>
      </c>
      <c r="DW19" s="59" t="str">
        <f t="shared" si="48"/>
        <v>NA</v>
      </c>
      <c r="DX19" s="59" t="str">
        <f t="shared" si="49"/>
        <v>NA</v>
      </c>
      <c r="DY19" s="59" t="str">
        <f t="shared" si="50"/>
        <v>NA</v>
      </c>
      <c r="DZ19" s="59" t="str">
        <f t="shared" si="51"/>
        <v>NA</v>
      </c>
      <c r="EA19" s="59" t="str">
        <f t="shared" si="52"/>
        <v>NA</v>
      </c>
      <c r="EB19" s="59" t="str">
        <f t="shared" si="53"/>
        <v>NA</v>
      </c>
      <c r="EC19" s="59" t="str">
        <f t="shared" si="54"/>
        <v>NA</v>
      </c>
      <c r="ED19" s="59" t="str">
        <f t="shared" si="55"/>
        <v/>
      </c>
      <c r="EE19" s="59" t="str">
        <f t="shared" si="56"/>
        <v/>
      </c>
      <c r="EF19" s="59" t="str">
        <f t="shared" si="57"/>
        <v/>
      </c>
      <c r="EG19" s="59" t="str">
        <f t="shared" si="58"/>
        <v/>
      </c>
      <c r="EH19" s="59" t="str">
        <f t="shared" si="59"/>
        <v/>
      </c>
      <c r="EI19" s="59" t="str">
        <f t="shared" si="60"/>
        <v/>
      </c>
      <c r="EJ19" s="59" t="str">
        <f t="shared" si="61"/>
        <v/>
      </c>
      <c r="EK19" s="59" t="str">
        <f t="shared" si="62"/>
        <v/>
      </c>
      <c r="EL19" s="59" t="str">
        <f t="shared" si="63"/>
        <v/>
      </c>
      <c r="EM19" s="59" t="str">
        <f t="shared" si="64"/>
        <v/>
      </c>
      <c r="EN19" s="59" t="str">
        <f t="shared" si="65"/>
        <v/>
      </c>
      <c r="EO19" s="59" t="str">
        <f t="shared" si="66"/>
        <v/>
      </c>
      <c r="EP19" s="59" t="str">
        <f t="shared" si="67"/>
        <v/>
      </c>
      <c r="EQ19" s="59" t="str">
        <f t="shared" si="68"/>
        <v/>
      </c>
      <c r="ER19" s="59" t="str">
        <f t="shared" si="69"/>
        <v/>
      </c>
      <c r="ES19" s="59" t="str">
        <f t="shared" si="70"/>
        <v/>
      </c>
      <c r="ET19" s="59" t="str">
        <f t="shared" si="71"/>
        <v/>
      </c>
      <c r="EU19" s="59" t="str">
        <f t="shared" si="72"/>
        <v/>
      </c>
      <c r="EV19" s="59" t="str">
        <f t="shared" si="73"/>
        <v/>
      </c>
      <c r="EW19" s="59" t="str">
        <f t="shared" si="74"/>
        <v/>
      </c>
      <c r="EX19" s="56">
        <f t="shared" si="26"/>
        <v>1126000</v>
      </c>
    </row>
    <row r="20" spans="1:154" x14ac:dyDescent="0.25">
      <c r="A20" s="2">
        <f t="shared" si="75"/>
        <v>19</v>
      </c>
      <c r="B20" s="2" t="s">
        <v>6</v>
      </c>
      <c r="C20" s="2" t="str">
        <f t="shared" si="27"/>
        <v>020213</v>
      </c>
      <c r="D20" s="2">
        <v>2</v>
      </c>
      <c r="E20" s="2">
        <v>2</v>
      </c>
      <c r="F20" s="13">
        <v>13</v>
      </c>
      <c r="G20" s="14" t="s">
        <v>9</v>
      </c>
      <c r="H20" s="130"/>
      <c r="I20" s="42" t="s">
        <v>58</v>
      </c>
      <c r="J20" s="15">
        <v>83.468999999999994</v>
      </c>
      <c r="K20" s="15"/>
      <c r="L20" s="12" t="s">
        <v>8</v>
      </c>
      <c r="M20" s="24" t="s">
        <v>178</v>
      </c>
      <c r="N20" s="7">
        <f t="shared" si="76"/>
        <v>1148182.2</v>
      </c>
      <c r="O20" s="8">
        <v>58</v>
      </c>
      <c r="P20" s="25">
        <v>41236</v>
      </c>
      <c r="Q20" s="8" t="str">
        <f t="shared" si="28"/>
        <v>2DA-NOV</v>
      </c>
      <c r="R20" s="26">
        <v>0.1</v>
      </c>
      <c r="S20" s="41" t="s">
        <v>34</v>
      </c>
      <c r="T20" s="8" t="s">
        <v>353</v>
      </c>
      <c r="U20" s="8"/>
      <c r="V20" s="7">
        <v>574091.1</v>
      </c>
      <c r="W20" s="7">
        <f t="shared" si="107"/>
        <v>229636.44</v>
      </c>
      <c r="X20" s="7">
        <f t="shared" si="29"/>
        <v>344454.66</v>
      </c>
      <c r="Y20" s="7">
        <v>0</v>
      </c>
      <c r="Z20" s="7">
        <f t="shared" si="30"/>
        <v>229636.44</v>
      </c>
      <c r="AA20" s="148" t="str">
        <f t="shared" si="31"/>
        <v>40%</v>
      </c>
      <c r="AB20" s="148">
        <f t="shared" si="32"/>
        <v>0.6</v>
      </c>
      <c r="AC20" s="25">
        <v>41075</v>
      </c>
      <c r="AD20" s="25">
        <v>41075</v>
      </c>
      <c r="AE20" s="25">
        <v>41075</v>
      </c>
      <c r="AF20" s="8"/>
      <c r="AG20" s="59" t="str">
        <f t="shared" ca="1" si="34"/>
        <v>NA</v>
      </c>
      <c r="AH20" s="55"/>
      <c r="AI20" s="55"/>
      <c r="AJ20" s="55"/>
      <c r="AK20" s="55"/>
      <c r="AL20" s="55"/>
      <c r="AM20" s="55"/>
      <c r="AN20" s="8"/>
      <c r="AO20" s="8"/>
      <c r="AP20" s="8"/>
      <c r="AQ20" s="8"/>
      <c r="AR20" s="59" t="str">
        <f t="shared" si="90"/>
        <v>NA</v>
      </c>
      <c r="AS20" s="59" t="str">
        <f t="shared" si="91"/>
        <v/>
      </c>
      <c r="AT20" s="59"/>
      <c r="AU20" s="59" t="str">
        <f t="shared" si="1"/>
        <v>ND</v>
      </c>
      <c r="AV20" s="66"/>
      <c r="AW20" s="66"/>
      <c r="AX20" s="66"/>
      <c r="AY20" s="66"/>
      <c r="AZ20" s="8"/>
      <c r="BA20" s="8" t="s">
        <v>37</v>
      </c>
      <c r="BB20" s="8"/>
      <c r="BC20" s="8"/>
      <c r="BD20" s="8"/>
      <c r="BE20" s="8"/>
      <c r="BF20" s="8"/>
      <c r="BG20" s="8"/>
      <c r="BH20" s="8"/>
      <c r="BI20" s="8"/>
      <c r="BJ20" s="8"/>
      <c r="BK20" s="59"/>
      <c r="BL20" s="59"/>
      <c r="BM20" s="59"/>
      <c r="BN20" s="164">
        <v>0.01</v>
      </c>
      <c r="BO20" s="165">
        <f t="shared" si="37"/>
        <v>3827.2739999999999</v>
      </c>
      <c r="BP20" s="165">
        <f t="shared" ref="BP20:BQ20" si="112">BO20</f>
        <v>3827.2739999999999</v>
      </c>
      <c r="BQ20" s="165">
        <f t="shared" si="112"/>
        <v>3827.2739999999999</v>
      </c>
      <c r="BR20" s="59"/>
      <c r="BS20" s="59"/>
      <c r="BT20" s="59"/>
      <c r="BU20" s="59"/>
      <c r="BV20" s="59" t="str">
        <f t="shared" si="83"/>
        <v>ND</v>
      </c>
      <c r="BW20" s="59" t="str">
        <f t="shared" si="84"/>
        <v>ND</v>
      </c>
      <c r="BX20" s="59" t="str">
        <f t="shared" si="85"/>
        <v>ND</v>
      </c>
      <c r="BY20" s="59" t="str">
        <f t="shared" si="86"/>
        <v>ND</v>
      </c>
      <c r="BZ20" s="59" t="str">
        <f t="shared" si="3"/>
        <v>NA</v>
      </c>
      <c r="CA20" s="59" t="str">
        <f t="shared" si="4"/>
        <v/>
      </c>
      <c r="CB20" s="59" t="str">
        <f t="shared" si="5"/>
        <v>NA</v>
      </c>
      <c r="CC20" s="59" t="str">
        <f t="shared" si="6"/>
        <v/>
      </c>
      <c r="CD20" s="59" t="str">
        <f t="shared" si="7"/>
        <v>NA</v>
      </c>
      <c r="CE20" s="59" t="str">
        <f t="shared" si="8"/>
        <v/>
      </c>
      <c r="CF20" s="59" t="str">
        <f t="shared" si="9"/>
        <v>NA</v>
      </c>
      <c r="CG20" s="59" t="str">
        <f t="shared" ca="1" si="10"/>
        <v>NA</v>
      </c>
      <c r="CH20" s="59" t="str">
        <f t="shared" ca="1" si="11"/>
        <v>NA</v>
      </c>
      <c r="CI20" s="59" t="str">
        <f t="shared" ca="1" si="12"/>
        <v>MAYOR A 45 DIAS</v>
      </c>
      <c r="CJ20" s="59" t="str">
        <f t="shared" ca="1" si="13"/>
        <v>MAYOR A 45 DIAS</v>
      </c>
      <c r="CK20" s="59" t="str">
        <f t="shared" ca="1" si="14"/>
        <v>MAYOR A 45 DIAS</v>
      </c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>
        <f t="shared" si="43"/>
        <v>0</v>
      </c>
      <c r="DH20" s="8">
        <f t="shared" si="79"/>
        <v>0</v>
      </c>
      <c r="DI20" s="8">
        <f t="shared" si="44"/>
        <v>0</v>
      </c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59" t="str">
        <f t="shared" si="45"/>
        <v>NA</v>
      </c>
      <c r="DU20" s="59" t="str">
        <f t="shared" si="46"/>
        <v>NA</v>
      </c>
      <c r="DV20" s="59" t="str">
        <f t="shared" si="47"/>
        <v>NA</v>
      </c>
      <c r="DW20" s="59" t="str">
        <f t="shared" si="48"/>
        <v>NA</v>
      </c>
      <c r="DX20" s="59" t="str">
        <f t="shared" si="49"/>
        <v>NA</v>
      </c>
      <c r="DY20" s="59" t="str">
        <f t="shared" si="50"/>
        <v>NA</v>
      </c>
      <c r="DZ20" s="59" t="str">
        <f t="shared" si="51"/>
        <v>NA</v>
      </c>
      <c r="EA20" s="59" t="str">
        <f t="shared" si="52"/>
        <v>NA</v>
      </c>
      <c r="EB20" s="59" t="str">
        <f t="shared" si="53"/>
        <v>NA</v>
      </c>
      <c r="EC20" s="59" t="str">
        <f t="shared" si="54"/>
        <v>NA</v>
      </c>
      <c r="ED20" s="59" t="str">
        <f t="shared" si="55"/>
        <v/>
      </c>
      <c r="EE20" s="59" t="str">
        <f t="shared" si="56"/>
        <v/>
      </c>
      <c r="EF20" s="59" t="str">
        <f t="shared" si="57"/>
        <v/>
      </c>
      <c r="EG20" s="59" t="str">
        <f t="shared" si="58"/>
        <v/>
      </c>
      <c r="EH20" s="59" t="str">
        <f t="shared" si="59"/>
        <v/>
      </c>
      <c r="EI20" s="59" t="str">
        <f t="shared" si="60"/>
        <v/>
      </c>
      <c r="EJ20" s="59" t="str">
        <f t="shared" si="61"/>
        <v/>
      </c>
      <c r="EK20" s="59" t="str">
        <f t="shared" si="62"/>
        <v/>
      </c>
      <c r="EL20" s="59" t="str">
        <f t="shared" si="63"/>
        <v/>
      </c>
      <c r="EM20" s="59" t="str">
        <f t="shared" si="64"/>
        <v/>
      </c>
      <c r="EN20" s="59" t="str">
        <f t="shared" si="65"/>
        <v/>
      </c>
      <c r="EO20" s="59" t="str">
        <f t="shared" si="66"/>
        <v/>
      </c>
      <c r="EP20" s="59" t="str">
        <f t="shared" si="67"/>
        <v/>
      </c>
      <c r="EQ20" s="59" t="str">
        <f t="shared" si="68"/>
        <v/>
      </c>
      <c r="ER20" s="59" t="str">
        <f t="shared" si="69"/>
        <v/>
      </c>
      <c r="ES20" s="59" t="str">
        <f t="shared" si="70"/>
        <v/>
      </c>
      <c r="ET20" s="59" t="str">
        <f t="shared" si="71"/>
        <v/>
      </c>
      <c r="EU20" s="59" t="str">
        <f t="shared" si="72"/>
        <v/>
      </c>
      <c r="EV20" s="59" t="str">
        <f t="shared" si="73"/>
        <v/>
      </c>
      <c r="EW20" s="59" t="str">
        <f t="shared" si="74"/>
        <v/>
      </c>
      <c r="EX20" s="56">
        <f t="shared" si="26"/>
        <v>1148182.2</v>
      </c>
    </row>
    <row r="21" spans="1:154" x14ac:dyDescent="0.25">
      <c r="A21" s="2">
        <f t="shared" si="75"/>
        <v>20</v>
      </c>
      <c r="B21" s="2" t="s">
        <v>6</v>
      </c>
      <c r="C21" s="2" t="str">
        <f t="shared" si="27"/>
        <v>020301</v>
      </c>
      <c r="D21" s="2">
        <v>2</v>
      </c>
      <c r="E21" s="2">
        <v>3</v>
      </c>
      <c r="F21" s="2">
        <v>1</v>
      </c>
      <c r="G21" s="11" t="s">
        <v>10</v>
      </c>
      <c r="H21" s="4"/>
      <c r="I21" s="42" t="s">
        <v>58</v>
      </c>
      <c r="J21" s="9">
        <v>83.346000000000004</v>
      </c>
      <c r="K21" s="9"/>
      <c r="L21" s="10" t="s">
        <v>8</v>
      </c>
      <c r="M21" s="24" t="s">
        <v>178</v>
      </c>
      <c r="N21" s="7">
        <f t="shared" si="76"/>
        <v>1147714.8</v>
      </c>
      <c r="O21" s="8">
        <v>59</v>
      </c>
      <c r="P21" s="25">
        <v>41236</v>
      </c>
      <c r="Q21" s="8" t="str">
        <f t="shared" si="28"/>
        <v>2DA-NOV</v>
      </c>
      <c r="R21" s="26">
        <v>0.1</v>
      </c>
      <c r="S21" s="41" t="s">
        <v>34</v>
      </c>
      <c r="T21" s="8" t="s">
        <v>353</v>
      </c>
      <c r="U21" s="8"/>
      <c r="V21" s="7">
        <v>573857.4</v>
      </c>
      <c r="W21" s="7">
        <f t="shared" si="107"/>
        <v>229542.96000000002</v>
      </c>
      <c r="X21" s="7">
        <f t="shared" si="29"/>
        <v>344314.44</v>
      </c>
      <c r="Y21" s="7">
        <v>0</v>
      </c>
      <c r="Z21" s="7">
        <f t="shared" si="30"/>
        <v>229542.96000000002</v>
      </c>
      <c r="AA21" s="148" t="str">
        <f t="shared" si="31"/>
        <v>40%</v>
      </c>
      <c r="AB21" s="148">
        <f t="shared" si="32"/>
        <v>0.6</v>
      </c>
      <c r="AC21" s="25">
        <v>41061</v>
      </c>
      <c r="AD21" s="25">
        <v>41061</v>
      </c>
      <c r="AE21" s="25">
        <v>41061</v>
      </c>
      <c r="AF21" s="8"/>
      <c r="AG21" s="59" t="str">
        <f t="shared" ca="1" si="34"/>
        <v>NA</v>
      </c>
      <c r="AH21" s="55"/>
      <c r="AI21" s="55"/>
      <c r="AJ21" s="55"/>
      <c r="AK21" s="55"/>
      <c r="AL21" s="55"/>
      <c r="AM21" s="55"/>
      <c r="AN21" s="8"/>
      <c r="AO21" s="8"/>
      <c r="AP21" s="8"/>
      <c r="AQ21" s="8"/>
      <c r="AR21" s="59" t="str">
        <f t="shared" si="90"/>
        <v>NA</v>
      </c>
      <c r="AS21" s="59" t="str">
        <f t="shared" si="91"/>
        <v/>
      </c>
      <c r="AT21" s="59"/>
      <c r="AU21" s="59" t="str">
        <f t="shared" si="1"/>
        <v>ND</v>
      </c>
      <c r="AV21" s="66"/>
      <c r="AW21" s="66"/>
      <c r="AX21" s="66"/>
      <c r="AY21" s="66"/>
      <c r="AZ21" s="8"/>
      <c r="BA21" s="8" t="s">
        <v>37</v>
      </c>
      <c r="BB21" s="8"/>
      <c r="BC21" s="8"/>
      <c r="BD21" s="8"/>
      <c r="BE21" s="8"/>
      <c r="BF21" s="8"/>
      <c r="BG21" s="8"/>
      <c r="BH21" s="8"/>
      <c r="BI21" s="8"/>
      <c r="BJ21" s="8"/>
      <c r="BK21" s="59"/>
      <c r="BL21" s="59"/>
      <c r="BM21" s="59"/>
      <c r="BN21" s="164">
        <v>0.01</v>
      </c>
      <c r="BO21" s="165">
        <f t="shared" si="37"/>
        <v>3825.7160000000003</v>
      </c>
      <c r="BP21" s="165">
        <f t="shared" ref="BP21:BQ21" si="113">BO21</f>
        <v>3825.7160000000003</v>
      </c>
      <c r="BQ21" s="165">
        <f t="shared" si="113"/>
        <v>3825.7160000000003</v>
      </c>
      <c r="BR21" s="59"/>
      <c r="BS21" s="59"/>
      <c r="BT21" s="59"/>
      <c r="BU21" s="59"/>
      <c r="BV21" s="59" t="str">
        <f t="shared" si="83"/>
        <v>ND</v>
      </c>
      <c r="BW21" s="59" t="str">
        <f t="shared" si="84"/>
        <v>ND</v>
      </c>
      <c r="BX21" s="59" t="str">
        <f t="shared" si="85"/>
        <v>ND</v>
      </c>
      <c r="BY21" s="59" t="str">
        <f t="shared" si="86"/>
        <v>ND</v>
      </c>
      <c r="BZ21" s="59" t="str">
        <f t="shared" si="3"/>
        <v>NA</v>
      </c>
      <c r="CA21" s="59" t="str">
        <f t="shared" si="4"/>
        <v/>
      </c>
      <c r="CB21" s="59" t="str">
        <f t="shared" si="5"/>
        <v>NA</v>
      </c>
      <c r="CC21" s="59" t="str">
        <f t="shared" si="6"/>
        <v/>
      </c>
      <c r="CD21" s="59" t="str">
        <f t="shared" si="7"/>
        <v>NA</v>
      </c>
      <c r="CE21" s="59" t="str">
        <f t="shared" si="8"/>
        <v/>
      </c>
      <c r="CF21" s="59" t="str">
        <f t="shared" si="9"/>
        <v>NA</v>
      </c>
      <c r="CG21" s="59" t="str">
        <f t="shared" ca="1" si="10"/>
        <v>NA</v>
      </c>
      <c r="CH21" s="59" t="str">
        <f t="shared" ca="1" si="11"/>
        <v>NA</v>
      </c>
      <c r="CI21" s="59" t="str">
        <f t="shared" ca="1" si="12"/>
        <v>MAYOR A 45 DIAS</v>
      </c>
      <c r="CJ21" s="59" t="str">
        <f t="shared" ca="1" si="13"/>
        <v>MAYOR A 45 DIAS</v>
      </c>
      <c r="CK21" s="59" t="str">
        <f t="shared" ca="1" si="14"/>
        <v>MAYOR A 45 DIAS</v>
      </c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>
        <f t="shared" si="43"/>
        <v>0</v>
      </c>
      <c r="DH21" s="8">
        <f t="shared" si="79"/>
        <v>0</v>
      </c>
      <c r="DI21" s="8">
        <f t="shared" si="44"/>
        <v>0</v>
      </c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59" t="str">
        <f t="shared" si="45"/>
        <v>NA</v>
      </c>
      <c r="DU21" s="59" t="str">
        <f t="shared" si="46"/>
        <v>NA</v>
      </c>
      <c r="DV21" s="59" t="str">
        <f t="shared" si="47"/>
        <v>NA</v>
      </c>
      <c r="DW21" s="59" t="str">
        <f t="shared" si="48"/>
        <v>NA</v>
      </c>
      <c r="DX21" s="59" t="str">
        <f t="shared" si="49"/>
        <v>NA</v>
      </c>
      <c r="DY21" s="59" t="str">
        <f t="shared" si="50"/>
        <v>NA</v>
      </c>
      <c r="DZ21" s="59" t="str">
        <f t="shared" si="51"/>
        <v>NA</v>
      </c>
      <c r="EA21" s="59" t="str">
        <f t="shared" si="52"/>
        <v>NA</v>
      </c>
      <c r="EB21" s="59" t="str">
        <f t="shared" si="53"/>
        <v>NA</v>
      </c>
      <c r="EC21" s="59" t="str">
        <f t="shared" si="54"/>
        <v>NA</v>
      </c>
      <c r="ED21" s="59" t="str">
        <f t="shared" si="55"/>
        <v/>
      </c>
      <c r="EE21" s="59" t="str">
        <f t="shared" si="56"/>
        <v/>
      </c>
      <c r="EF21" s="59" t="str">
        <f t="shared" si="57"/>
        <v/>
      </c>
      <c r="EG21" s="59" t="str">
        <f t="shared" si="58"/>
        <v/>
      </c>
      <c r="EH21" s="59" t="str">
        <f t="shared" si="59"/>
        <v/>
      </c>
      <c r="EI21" s="59" t="str">
        <f t="shared" si="60"/>
        <v/>
      </c>
      <c r="EJ21" s="59" t="str">
        <f t="shared" si="61"/>
        <v/>
      </c>
      <c r="EK21" s="59" t="str">
        <f t="shared" si="62"/>
        <v/>
      </c>
      <c r="EL21" s="59" t="str">
        <f t="shared" si="63"/>
        <v/>
      </c>
      <c r="EM21" s="59" t="str">
        <f t="shared" si="64"/>
        <v/>
      </c>
      <c r="EN21" s="59" t="str">
        <f t="shared" si="65"/>
        <v/>
      </c>
      <c r="EO21" s="59" t="str">
        <f t="shared" si="66"/>
        <v/>
      </c>
      <c r="EP21" s="59" t="str">
        <f t="shared" si="67"/>
        <v/>
      </c>
      <c r="EQ21" s="59" t="str">
        <f t="shared" si="68"/>
        <v/>
      </c>
      <c r="ER21" s="59" t="str">
        <f t="shared" si="69"/>
        <v/>
      </c>
      <c r="ES21" s="59" t="str">
        <f t="shared" si="70"/>
        <v/>
      </c>
      <c r="ET21" s="59" t="str">
        <f t="shared" si="71"/>
        <v/>
      </c>
      <c r="EU21" s="59" t="str">
        <f t="shared" si="72"/>
        <v/>
      </c>
      <c r="EV21" s="59" t="str">
        <f t="shared" si="73"/>
        <v/>
      </c>
      <c r="EW21" s="59" t="str">
        <f t="shared" si="74"/>
        <v/>
      </c>
      <c r="EX21" s="56">
        <f t="shared" si="26"/>
        <v>1147714.8</v>
      </c>
    </row>
    <row r="22" spans="1:154" x14ac:dyDescent="0.25">
      <c r="A22" s="2">
        <f t="shared" si="75"/>
        <v>21</v>
      </c>
      <c r="B22" s="2" t="s">
        <v>6</v>
      </c>
      <c r="C22" s="2" t="str">
        <f t="shared" si="27"/>
        <v>020302</v>
      </c>
      <c r="D22" s="2">
        <v>2</v>
      </c>
      <c r="E22" s="2">
        <v>3</v>
      </c>
      <c r="F22" s="2">
        <v>2</v>
      </c>
      <c r="G22" s="11" t="s">
        <v>10</v>
      </c>
      <c r="H22" s="4"/>
      <c r="I22" s="42" t="s">
        <v>58</v>
      </c>
      <c r="J22" s="9">
        <v>80</v>
      </c>
      <c r="K22" s="5"/>
      <c r="L22" s="6" t="s">
        <v>306</v>
      </c>
      <c r="M22" s="24" t="s">
        <v>178</v>
      </c>
      <c r="N22" s="7">
        <f t="shared" si="76"/>
        <v>1126000</v>
      </c>
      <c r="O22" s="8">
        <v>60</v>
      </c>
      <c r="P22" s="25">
        <v>41236</v>
      </c>
      <c r="Q22" s="8" t="str">
        <f t="shared" si="28"/>
        <v>2DA-NOV</v>
      </c>
      <c r="R22" s="26">
        <v>0.1</v>
      </c>
      <c r="S22" s="41" t="s">
        <v>34</v>
      </c>
      <c r="T22" s="8" t="s">
        <v>353</v>
      </c>
      <c r="U22" s="8"/>
      <c r="V22" s="7">
        <v>563000</v>
      </c>
      <c r="W22" s="7">
        <f t="shared" si="107"/>
        <v>225200</v>
      </c>
      <c r="X22" s="7">
        <f t="shared" si="29"/>
        <v>337800</v>
      </c>
      <c r="Y22" s="7">
        <v>0</v>
      </c>
      <c r="Z22" s="7">
        <f t="shared" si="30"/>
        <v>225200</v>
      </c>
      <c r="AA22" s="148" t="str">
        <f t="shared" si="31"/>
        <v>40%</v>
      </c>
      <c r="AB22" s="148">
        <f t="shared" si="32"/>
        <v>0.6</v>
      </c>
      <c r="AC22" s="25">
        <v>41067</v>
      </c>
      <c r="AD22" s="25">
        <v>41067</v>
      </c>
      <c r="AE22" s="25">
        <v>41067</v>
      </c>
      <c r="AF22" s="8"/>
      <c r="AG22" s="59" t="str">
        <f t="shared" ca="1" si="34"/>
        <v>NA</v>
      </c>
      <c r="AH22" s="55"/>
      <c r="AI22" s="55"/>
      <c r="AJ22" s="55"/>
      <c r="AK22" s="55"/>
      <c r="AL22" s="55"/>
      <c r="AM22" s="55"/>
      <c r="AN22" s="8"/>
      <c r="AO22" s="8"/>
      <c r="AP22" s="8"/>
      <c r="AQ22" s="8"/>
      <c r="AR22" s="59" t="str">
        <f t="shared" si="90"/>
        <v>NA</v>
      </c>
      <c r="AS22" s="59" t="str">
        <f t="shared" si="91"/>
        <v/>
      </c>
      <c r="AT22" s="59"/>
      <c r="AU22" s="59" t="str">
        <f t="shared" si="1"/>
        <v>ND</v>
      </c>
      <c r="AV22" s="66"/>
      <c r="AW22" s="66"/>
      <c r="AX22" s="66"/>
      <c r="AY22" s="66"/>
      <c r="AZ22" s="8"/>
      <c r="BA22" s="8" t="s">
        <v>37</v>
      </c>
      <c r="BB22" s="8"/>
      <c r="BC22" s="8"/>
      <c r="BD22" s="8"/>
      <c r="BE22" s="8"/>
      <c r="BF22" s="8"/>
      <c r="BG22" s="8"/>
      <c r="BH22" s="8"/>
      <c r="BI22" s="8"/>
      <c r="BJ22" s="8"/>
      <c r="BK22" s="59"/>
      <c r="BL22" s="59"/>
      <c r="BM22" s="59"/>
      <c r="BN22" s="164">
        <v>0.01</v>
      </c>
      <c r="BO22" s="165">
        <f t="shared" si="37"/>
        <v>3753.3333333333335</v>
      </c>
      <c r="BP22" s="165">
        <f t="shared" ref="BP22:BQ22" si="114">BO22</f>
        <v>3753.3333333333335</v>
      </c>
      <c r="BQ22" s="165">
        <f t="shared" si="114"/>
        <v>3753.3333333333335</v>
      </c>
      <c r="BR22" s="59"/>
      <c r="BS22" s="59"/>
      <c r="BT22" s="59"/>
      <c r="BU22" s="59"/>
      <c r="BV22" s="59" t="str">
        <f t="shared" si="83"/>
        <v>ND</v>
      </c>
      <c r="BW22" s="59" t="str">
        <f t="shared" si="84"/>
        <v>ND</v>
      </c>
      <c r="BX22" s="59" t="str">
        <f t="shared" si="85"/>
        <v>ND</v>
      </c>
      <c r="BY22" s="59" t="str">
        <f t="shared" si="86"/>
        <v>ND</v>
      </c>
      <c r="BZ22" s="59" t="str">
        <f t="shared" si="3"/>
        <v>NA</v>
      </c>
      <c r="CA22" s="59" t="str">
        <f t="shared" si="4"/>
        <v/>
      </c>
      <c r="CB22" s="59" t="str">
        <f t="shared" si="5"/>
        <v>NA</v>
      </c>
      <c r="CC22" s="59" t="str">
        <f t="shared" si="6"/>
        <v/>
      </c>
      <c r="CD22" s="59" t="str">
        <f t="shared" si="7"/>
        <v>NA</v>
      </c>
      <c r="CE22" s="59" t="str">
        <f t="shared" si="8"/>
        <v/>
      </c>
      <c r="CF22" s="59" t="str">
        <f t="shared" si="9"/>
        <v>NA</v>
      </c>
      <c r="CG22" s="59" t="str">
        <f t="shared" ca="1" si="10"/>
        <v>NA</v>
      </c>
      <c r="CH22" s="59" t="str">
        <f t="shared" ca="1" si="11"/>
        <v>NA</v>
      </c>
      <c r="CI22" s="59" t="str">
        <f t="shared" ca="1" si="12"/>
        <v>MAYOR A 45 DIAS</v>
      </c>
      <c r="CJ22" s="59" t="str">
        <f t="shared" ca="1" si="13"/>
        <v>MAYOR A 45 DIAS</v>
      </c>
      <c r="CK22" s="59" t="str">
        <f t="shared" ca="1" si="14"/>
        <v>MAYOR A 45 DIAS</v>
      </c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>
        <f t="shared" si="43"/>
        <v>0</v>
      </c>
      <c r="DH22" s="8">
        <f t="shared" si="79"/>
        <v>0</v>
      </c>
      <c r="DI22" s="8">
        <f t="shared" si="44"/>
        <v>0</v>
      </c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59" t="str">
        <f t="shared" si="45"/>
        <v>NA</v>
      </c>
      <c r="DU22" s="59" t="str">
        <f t="shared" si="46"/>
        <v>NA</v>
      </c>
      <c r="DV22" s="59" t="str">
        <f t="shared" si="47"/>
        <v>NA</v>
      </c>
      <c r="DW22" s="59" t="str">
        <f t="shared" si="48"/>
        <v>NA</v>
      </c>
      <c r="DX22" s="59" t="str">
        <f t="shared" si="49"/>
        <v>NA</v>
      </c>
      <c r="DY22" s="59" t="str">
        <f t="shared" si="50"/>
        <v>NA</v>
      </c>
      <c r="DZ22" s="59" t="str">
        <f t="shared" si="51"/>
        <v>NA</v>
      </c>
      <c r="EA22" s="59" t="str">
        <f t="shared" si="52"/>
        <v>NA</v>
      </c>
      <c r="EB22" s="59" t="str">
        <f t="shared" si="53"/>
        <v>NA</v>
      </c>
      <c r="EC22" s="59" t="str">
        <f t="shared" si="54"/>
        <v>NA</v>
      </c>
      <c r="ED22" s="59" t="str">
        <f t="shared" si="55"/>
        <v/>
      </c>
      <c r="EE22" s="59" t="str">
        <f t="shared" si="56"/>
        <v/>
      </c>
      <c r="EF22" s="59" t="str">
        <f t="shared" si="57"/>
        <v/>
      </c>
      <c r="EG22" s="59" t="str">
        <f t="shared" si="58"/>
        <v/>
      </c>
      <c r="EH22" s="59" t="str">
        <f t="shared" si="59"/>
        <v/>
      </c>
      <c r="EI22" s="59" t="str">
        <f t="shared" si="60"/>
        <v/>
      </c>
      <c r="EJ22" s="59" t="str">
        <f t="shared" si="61"/>
        <v/>
      </c>
      <c r="EK22" s="59" t="str">
        <f t="shared" si="62"/>
        <v/>
      </c>
      <c r="EL22" s="59" t="str">
        <f t="shared" si="63"/>
        <v/>
      </c>
      <c r="EM22" s="59" t="str">
        <f t="shared" si="64"/>
        <v/>
      </c>
      <c r="EN22" s="59" t="str">
        <f t="shared" si="65"/>
        <v/>
      </c>
      <c r="EO22" s="59" t="str">
        <f t="shared" si="66"/>
        <v/>
      </c>
      <c r="EP22" s="59" t="str">
        <f t="shared" si="67"/>
        <v/>
      </c>
      <c r="EQ22" s="59" t="str">
        <f t="shared" si="68"/>
        <v/>
      </c>
      <c r="ER22" s="59" t="str">
        <f t="shared" si="69"/>
        <v/>
      </c>
      <c r="ES22" s="59" t="str">
        <f t="shared" si="70"/>
        <v/>
      </c>
      <c r="ET22" s="59" t="str">
        <f t="shared" si="71"/>
        <v/>
      </c>
      <c r="EU22" s="59" t="str">
        <f t="shared" si="72"/>
        <v/>
      </c>
      <c r="EV22" s="59" t="str">
        <f t="shared" si="73"/>
        <v/>
      </c>
      <c r="EW22" s="59" t="str">
        <f t="shared" si="74"/>
        <v/>
      </c>
      <c r="EX22" s="56">
        <f t="shared" si="26"/>
        <v>1126000</v>
      </c>
    </row>
    <row r="23" spans="1:154" x14ac:dyDescent="0.25">
      <c r="A23" s="2">
        <f t="shared" si="75"/>
        <v>22</v>
      </c>
      <c r="B23" s="2" t="s">
        <v>6</v>
      </c>
      <c r="C23" s="2" t="str">
        <f t="shared" si="27"/>
        <v>020303</v>
      </c>
      <c r="D23" s="2">
        <v>2</v>
      </c>
      <c r="E23" s="2">
        <v>3</v>
      </c>
      <c r="F23" s="2">
        <v>3</v>
      </c>
      <c r="G23" s="11" t="s">
        <v>10</v>
      </c>
      <c r="H23" s="4"/>
      <c r="I23" s="42" t="s">
        <v>58</v>
      </c>
      <c r="J23" s="9">
        <v>80</v>
      </c>
      <c r="K23" s="5"/>
      <c r="L23" s="6" t="s">
        <v>306</v>
      </c>
      <c r="M23" s="24" t="s">
        <v>178</v>
      </c>
      <c r="N23" s="7">
        <f t="shared" si="76"/>
        <v>1126000</v>
      </c>
      <c r="O23" s="8">
        <v>61</v>
      </c>
      <c r="P23" s="25">
        <v>41236</v>
      </c>
      <c r="Q23" s="8" t="str">
        <f t="shared" si="28"/>
        <v>2DA-NOV</v>
      </c>
      <c r="R23" s="26">
        <v>0.1</v>
      </c>
      <c r="S23" s="41" t="s">
        <v>34</v>
      </c>
      <c r="T23" s="8" t="s">
        <v>353</v>
      </c>
      <c r="U23" s="8"/>
      <c r="V23" s="7">
        <v>563000</v>
      </c>
      <c r="W23" s="7">
        <f t="shared" si="107"/>
        <v>225200</v>
      </c>
      <c r="X23" s="7">
        <f t="shared" si="29"/>
        <v>337800</v>
      </c>
      <c r="Y23" s="7">
        <v>0</v>
      </c>
      <c r="Z23" s="7">
        <f t="shared" si="30"/>
        <v>225200</v>
      </c>
      <c r="AA23" s="148" t="str">
        <f t="shared" si="31"/>
        <v>40%</v>
      </c>
      <c r="AB23" s="148">
        <f t="shared" si="32"/>
        <v>0.6</v>
      </c>
      <c r="AC23" s="25">
        <v>41070</v>
      </c>
      <c r="AD23" s="25">
        <v>41070</v>
      </c>
      <c r="AE23" s="25">
        <v>41070</v>
      </c>
      <c r="AF23" s="8"/>
      <c r="AG23" s="59" t="str">
        <f t="shared" ca="1" si="34"/>
        <v>NA</v>
      </c>
      <c r="AH23" s="55"/>
      <c r="AI23" s="55"/>
      <c r="AJ23" s="55"/>
      <c r="AK23" s="55"/>
      <c r="AL23" s="55"/>
      <c r="AM23" s="55"/>
      <c r="AN23" s="8"/>
      <c r="AO23" s="8"/>
      <c r="AP23" s="8"/>
      <c r="AQ23" s="8"/>
      <c r="AR23" s="59" t="str">
        <f t="shared" si="90"/>
        <v>NA</v>
      </c>
      <c r="AS23" s="59" t="str">
        <f t="shared" si="91"/>
        <v/>
      </c>
      <c r="AT23" s="59"/>
      <c r="AU23" s="59" t="str">
        <f t="shared" si="1"/>
        <v>ND</v>
      </c>
      <c r="AV23" s="66"/>
      <c r="AW23" s="66"/>
      <c r="AX23" s="66"/>
      <c r="AY23" s="66"/>
      <c r="AZ23" s="8"/>
      <c r="BA23" s="8" t="s">
        <v>37</v>
      </c>
      <c r="BB23" s="8"/>
      <c r="BC23" s="8"/>
      <c r="BD23" s="8"/>
      <c r="BE23" s="8"/>
      <c r="BF23" s="8"/>
      <c r="BG23" s="8"/>
      <c r="BH23" s="8"/>
      <c r="BI23" s="8"/>
      <c r="BJ23" s="8"/>
      <c r="BK23" s="59"/>
      <c r="BL23" s="59"/>
      <c r="BM23" s="59"/>
      <c r="BN23" s="164">
        <v>0.01</v>
      </c>
      <c r="BO23" s="165">
        <f t="shared" si="37"/>
        <v>3753.3333333333335</v>
      </c>
      <c r="BP23" s="165">
        <f t="shared" ref="BP23:BQ23" si="115">BO23</f>
        <v>3753.3333333333335</v>
      </c>
      <c r="BQ23" s="165">
        <f t="shared" si="115"/>
        <v>3753.3333333333335</v>
      </c>
      <c r="BR23" s="59"/>
      <c r="BS23" s="59"/>
      <c r="BT23" s="59"/>
      <c r="BU23" s="59"/>
      <c r="BV23" s="59" t="str">
        <f t="shared" si="83"/>
        <v>ND</v>
      </c>
      <c r="BW23" s="59" t="str">
        <f t="shared" si="84"/>
        <v>ND</v>
      </c>
      <c r="BX23" s="59" t="str">
        <f t="shared" si="85"/>
        <v>ND</v>
      </c>
      <c r="BY23" s="59" t="str">
        <f t="shared" si="86"/>
        <v>ND</v>
      </c>
      <c r="BZ23" s="59" t="str">
        <f t="shared" si="3"/>
        <v>NA</v>
      </c>
      <c r="CA23" s="59" t="str">
        <f t="shared" si="4"/>
        <v/>
      </c>
      <c r="CB23" s="59" t="str">
        <f t="shared" si="5"/>
        <v>NA</v>
      </c>
      <c r="CC23" s="59" t="str">
        <f t="shared" si="6"/>
        <v/>
      </c>
      <c r="CD23" s="59" t="str">
        <f t="shared" si="7"/>
        <v>NA</v>
      </c>
      <c r="CE23" s="59" t="str">
        <f t="shared" si="8"/>
        <v/>
      </c>
      <c r="CF23" s="59" t="str">
        <f t="shared" si="9"/>
        <v>NA</v>
      </c>
      <c r="CG23" s="59" t="str">
        <f t="shared" ca="1" si="10"/>
        <v>NA</v>
      </c>
      <c r="CH23" s="59" t="str">
        <f t="shared" ca="1" si="11"/>
        <v>NA</v>
      </c>
      <c r="CI23" s="59" t="str">
        <f t="shared" ca="1" si="12"/>
        <v>MAYOR A 45 DIAS</v>
      </c>
      <c r="CJ23" s="59" t="str">
        <f t="shared" ca="1" si="13"/>
        <v>MAYOR A 45 DIAS</v>
      </c>
      <c r="CK23" s="59" t="str">
        <f t="shared" ca="1" si="14"/>
        <v>MAYOR A 45 DIAS</v>
      </c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>
        <f t="shared" si="43"/>
        <v>0</v>
      </c>
      <c r="DH23" s="8">
        <f t="shared" si="79"/>
        <v>0</v>
      </c>
      <c r="DI23" s="8">
        <f t="shared" si="44"/>
        <v>0</v>
      </c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59" t="str">
        <f t="shared" si="45"/>
        <v>NA</v>
      </c>
      <c r="DU23" s="59" t="str">
        <f t="shared" si="46"/>
        <v>NA</v>
      </c>
      <c r="DV23" s="59" t="str">
        <f t="shared" si="47"/>
        <v>NA</v>
      </c>
      <c r="DW23" s="59" t="str">
        <f t="shared" si="48"/>
        <v>NA</v>
      </c>
      <c r="DX23" s="59" t="str">
        <f t="shared" si="49"/>
        <v>NA</v>
      </c>
      <c r="DY23" s="59" t="str">
        <f t="shared" si="50"/>
        <v>NA</v>
      </c>
      <c r="DZ23" s="59" t="str">
        <f t="shared" si="51"/>
        <v>NA</v>
      </c>
      <c r="EA23" s="59" t="str">
        <f t="shared" si="52"/>
        <v>NA</v>
      </c>
      <c r="EB23" s="59" t="str">
        <f t="shared" si="53"/>
        <v>NA</v>
      </c>
      <c r="EC23" s="59" t="str">
        <f t="shared" si="54"/>
        <v>NA</v>
      </c>
      <c r="ED23" s="59" t="str">
        <f t="shared" si="55"/>
        <v/>
      </c>
      <c r="EE23" s="59" t="str">
        <f t="shared" si="56"/>
        <v/>
      </c>
      <c r="EF23" s="59" t="str">
        <f t="shared" si="57"/>
        <v/>
      </c>
      <c r="EG23" s="59" t="str">
        <f t="shared" si="58"/>
        <v/>
      </c>
      <c r="EH23" s="59" t="str">
        <f t="shared" si="59"/>
        <v/>
      </c>
      <c r="EI23" s="59" t="str">
        <f t="shared" si="60"/>
        <v/>
      </c>
      <c r="EJ23" s="59" t="str">
        <f t="shared" si="61"/>
        <v/>
      </c>
      <c r="EK23" s="59" t="str">
        <f t="shared" si="62"/>
        <v/>
      </c>
      <c r="EL23" s="59" t="str">
        <f t="shared" si="63"/>
        <v/>
      </c>
      <c r="EM23" s="59" t="str">
        <f t="shared" si="64"/>
        <v/>
      </c>
      <c r="EN23" s="59" t="str">
        <f t="shared" si="65"/>
        <v/>
      </c>
      <c r="EO23" s="59" t="str">
        <f t="shared" si="66"/>
        <v/>
      </c>
      <c r="EP23" s="59" t="str">
        <f t="shared" si="67"/>
        <v/>
      </c>
      <c r="EQ23" s="59" t="str">
        <f t="shared" si="68"/>
        <v/>
      </c>
      <c r="ER23" s="59" t="str">
        <f t="shared" si="69"/>
        <v/>
      </c>
      <c r="ES23" s="59" t="str">
        <f t="shared" si="70"/>
        <v/>
      </c>
      <c r="ET23" s="59" t="str">
        <f t="shared" si="71"/>
        <v/>
      </c>
      <c r="EU23" s="59" t="str">
        <f t="shared" si="72"/>
        <v/>
      </c>
      <c r="EV23" s="59" t="str">
        <f t="shared" si="73"/>
        <v/>
      </c>
      <c r="EW23" s="59" t="str">
        <f t="shared" si="74"/>
        <v/>
      </c>
      <c r="EX23" s="56">
        <f t="shared" si="26"/>
        <v>1126000</v>
      </c>
    </row>
    <row r="24" spans="1:154" x14ac:dyDescent="0.25">
      <c r="A24" s="2">
        <f t="shared" si="75"/>
        <v>23</v>
      </c>
      <c r="B24" s="2" t="s">
        <v>6</v>
      </c>
      <c r="C24" s="2" t="str">
        <f t="shared" si="27"/>
        <v>020304</v>
      </c>
      <c r="D24" s="2">
        <v>2</v>
      </c>
      <c r="E24" s="2">
        <v>3</v>
      </c>
      <c r="F24" s="2">
        <v>4</v>
      </c>
      <c r="G24" s="11" t="s">
        <v>10</v>
      </c>
      <c r="H24" s="4"/>
      <c r="I24" s="42" t="s">
        <v>58</v>
      </c>
      <c r="J24" s="9">
        <v>80</v>
      </c>
      <c r="K24" s="9"/>
      <c r="L24" s="10" t="s">
        <v>8</v>
      </c>
      <c r="M24" s="24" t="s">
        <v>178</v>
      </c>
      <c r="N24" s="7">
        <f t="shared" si="76"/>
        <v>1135000</v>
      </c>
      <c r="O24" s="8">
        <v>62</v>
      </c>
      <c r="P24" s="25">
        <v>41236</v>
      </c>
      <c r="Q24" s="8" t="str">
        <f t="shared" si="28"/>
        <v>2DA-NOV</v>
      </c>
      <c r="R24" s="26">
        <v>0.1</v>
      </c>
      <c r="S24" s="41" t="s">
        <v>34</v>
      </c>
      <c r="T24" s="8" t="s">
        <v>353</v>
      </c>
      <c r="U24" s="8"/>
      <c r="V24" s="7">
        <v>567500</v>
      </c>
      <c r="W24" s="7">
        <f t="shared" si="107"/>
        <v>227000</v>
      </c>
      <c r="X24" s="7">
        <f t="shared" si="29"/>
        <v>340500</v>
      </c>
      <c r="Y24" s="7">
        <v>0</v>
      </c>
      <c r="Z24" s="7">
        <f t="shared" si="30"/>
        <v>227000</v>
      </c>
      <c r="AA24" s="148" t="str">
        <f t="shared" si="31"/>
        <v>40%</v>
      </c>
      <c r="AB24" s="148">
        <f t="shared" si="32"/>
        <v>0.6</v>
      </c>
      <c r="AC24" s="25">
        <v>41069</v>
      </c>
      <c r="AD24" s="25">
        <v>41069</v>
      </c>
      <c r="AE24" s="25">
        <v>41069</v>
      </c>
      <c r="AF24" s="8"/>
      <c r="AG24" s="59" t="str">
        <f t="shared" ca="1" si="34"/>
        <v>NA</v>
      </c>
      <c r="AH24" s="55"/>
      <c r="AI24" s="55"/>
      <c r="AJ24" s="55"/>
      <c r="AK24" s="55"/>
      <c r="AL24" s="55"/>
      <c r="AM24" s="55"/>
      <c r="AN24" s="8"/>
      <c r="AO24" s="8"/>
      <c r="AP24" s="8"/>
      <c r="AQ24" s="8"/>
      <c r="AR24" s="59" t="str">
        <f t="shared" si="90"/>
        <v>NA</v>
      </c>
      <c r="AS24" s="59" t="str">
        <f t="shared" si="91"/>
        <v/>
      </c>
      <c r="AT24" s="59"/>
      <c r="AU24" s="59" t="str">
        <f t="shared" si="1"/>
        <v>ND</v>
      </c>
      <c r="AV24" s="66"/>
      <c r="AW24" s="66"/>
      <c r="AX24" s="66"/>
      <c r="AY24" s="66"/>
      <c r="AZ24" s="8"/>
      <c r="BA24" s="8" t="s">
        <v>37</v>
      </c>
      <c r="BB24" s="8"/>
      <c r="BC24" s="8"/>
      <c r="BD24" s="8"/>
      <c r="BE24" s="8"/>
      <c r="BF24" s="8"/>
      <c r="BG24" s="8"/>
      <c r="BH24" s="8"/>
      <c r="BI24" s="8"/>
      <c r="BJ24" s="8"/>
      <c r="BK24" s="59"/>
      <c r="BL24" s="59"/>
      <c r="BM24" s="59"/>
      <c r="BN24" s="164">
        <v>0.01</v>
      </c>
      <c r="BO24" s="165">
        <f t="shared" si="37"/>
        <v>3783.3333333333335</v>
      </c>
      <c r="BP24" s="165">
        <f t="shared" ref="BP24:BQ24" si="116">BO24</f>
        <v>3783.3333333333335</v>
      </c>
      <c r="BQ24" s="165">
        <f t="shared" si="116"/>
        <v>3783.3333333333335</v>
      </c>
      <c r="BR24" s="59"/>
      <c r="BS24" s="59"/>
      <c r="BT24" s="59"/>
      <c r="BU24" s="59"/>
      <c r="BV24" s="59" t="str">
        <f t="shared" si="83"/>
        <v>ND</v>
      </c>
      <c r="BW24" s="59" t="str">
        <f t="shared" si="84"/>
        <v>ND</v>
      </c>
      <c r="BX24" s="59" t="str">
        <f t="shared" si="85"/>
        <v>ND</v>
      </c>
      <c r="BY24" s="59" t="str">
        <f t="shared" si="86"/>
        <v>ND</v>
      </c>
      <c r="BZ24" s="59" t="str">
        <f t="shared" si="3"/>
        <v>NA</v>
      </c>
      <c r="CA24" s="59" t="str">
        <f t="shared" si="4"/>
        <v/>
      </c>
      <c r="CB24" s="59" t="str">
        <f t="shared" si="5"/>
        <v>NA</v>
      </c>
      <c r="CC24" s="59" t="str">
        <f t="shared" si="6"/>
        <v/>
      </c>
      <c r="CD24" s="59" t="str">
        <f t="shared" si="7"/>
        <v>NA</v>
      </c>
      <c r="CE24" s="59" t="str">
        <f t="shared" si="8"/>
        <v/>
      </c>
      <c r="CF24" s="59" t="str">
        <f t="shared" si="9"/>
        <v>NA</v>
      </c>
      <c r="CG24" s="59" t="str">
        <f t="shared" ca="1" si="10"/>
        <v>NA</v>
      </c>
      <c r="CH24" s="59" t="str">
        <f t="shared" ca="1" si="11"/>
        <v>NA</v>
      </c>
      <c r="CI24" s="59" t="str">
        <f t="shared" ca="1" si="12"/>
        <v>MAYOR A 45 DIAS</v>
      </c>
      <c r="CJ24" s="59" t="str">
        <f t="shared" ca="1" si="13"/>
        <v>MAYOR A 45 DIAS</v>
      </c>
      <c r="CK24" s="59" t="str">
        <f t="shared" ca="1" si="14"/>
        <v>MAYOR A 45 DIAS</v>
      </c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>
        <f t="shared" si="43"/>
        <v>0</v>
      </c>
      <c r="DH24" s="8">
        <f t="shared" si="79"/>
        <v>0</v>
      </c>
      <c r="DI24" s="8">
        <f t="shared" si="44"/>
        <v>0</v>
      </c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59" t="str">
        <f t="shared" si="45"/>
        <v>NA</v>
      </c>
      <c r="DU24" s="59" t="str">
        <f t="shared" si="46"/>
        <v>NA</v>
      </c>
      <c r="DV24" s="59" t="str">
        <f t="shared" si="47"/>
        <v>NA</v>
      </c>
      <c r="DW24" s="59" t="str">
        <f t="shared" si="48"/>
        <v>NA</v>
      </c>
      <c r="DX24" s="59" t="str">
        <f t="shared" si="49"/>
        <v>NA</v>
      </c>
      <c r="DY24" s="59" t="str">
        <f t="shared" si="50"/>
        <v>NA</v>
      </c>
      <c r="DZ24" s="59" t="str">
        <f t="shared" si="51"/>
        <v>NA</v>
      </c>
      <c r="EA24" s="59" t="str">
        <f t="shared" si="52"/>
        <v>NA</v>
      </c>
      <c r="EB24" s="59" t="str">
        <f t="shared" si="53"/>
        <v>NA</v>
      </c>
      <c r="EC24" s="59" t="str">
        <f t="shared" si="54"/>
        <v>NA</v>
      </c>
      <c r="ED24" s="59" t="str">
        <f t="shared" si="55"/>
        <v/>
      </c>
      <c r="EE24" s="59" t="str">
        <f t="shared" si="56"/>
        <v/>
      </c>
      <c r="EF24" s="59" t="str">
        <f t="shared" si="57"/>
        <v/>
      </c>
      <c r="EG24" s="59" t="str">
        <f t="shared" si="58"/>
        <v/>
      </c>
      <c r="EH24" s="59" t="str">
        <f t="shared" si="59"/>
        <v/>
      </c>
      <c r="EI24" s="59" t="str">
        <f t="shared" si="60"/>
        <v/>
      </c>
      <c r="EJ24" s="59" t="str">
        <f t="shared" si="61"/>
        <v/>
      </c>
      <c r="EK24" s="59" t="str">
        <f t="shared" si="62"/>
        <v/>
      </c>
      <c r="EL24" s="59" t="str">
        <f t="shared" si="63"/>
        <v/>
      </c>
      <c r="EM24" s="59" t="str">
        <f t="shared" si="64"/>
        <v/>
      </c>
      <c r="EN24" s="59" t="str">
        <f t="shared" si="65"/>
        <v/>
      </c>
      <c r="EO24" s="59" t="str">
        <f t="shared" si="66"/>
        <v/>
      </c>
      <c r="EP24" s="59" t="str">
        <f t="shared" si="67"/>
        <v/>
      </c>
      <c r="EQ24" s="59" t="str">
        <f t="shared" si="68"/>
        <v/>
      </c>
      <c r="ER24" s="59" t="str">
        <f t="shared" si="69"/>
        <v/>
      </c>
      <c r="ES24" s="59" t="str">
        <f t="shared" si="70"/>
        <v/>
      </c>
      <c r="ET24" s="59" t="str">
        <f t="shared" si="71"/>
        <v/>
      </c>
      <c r="EU24" s="59" t="str">
        <f t="shared" si="72"/>
        <v/>
      </c>
      <c r="EV24" s="59" t="str">
        <f t="shared" si="73"/>
        <v/>
      </c>
      <c r="EW24" s="59" t="str">
        <f t="shared" si="74"/>
        <v/>
      </c>
      <c r="EX24" s="56">
        <f t="shared" si="26"/>
        <v>1135000</v>
      </c>
    </row>
    <row r="25" spans="1:154" x14ac:dyDescent="0.25">
      <c r="A25" s="2">
        <f t="shared" si="75"/>
        <v>24</v>
      </c>
      <c r="B25" s="2" t="s">
        <v>6</v>
      </c>
      <c r="C25" s="2" t="str">
        <f t="shared" si="27"/>
        <v>020305</v>
      </c>
      <c r="D25" s="2">
        <v>2</v>
      </c>
      <c r="E25" s="2">
        <v>3</v>
      </c>
      <c r="F25" s="2">
        <v>5</v>
      </c>
      <c r="G25" s="11" t="s">
        <v>10</v>
      </c>
      <c r="H25" s="4"/>
      <c r="I25" s="42" t="s">
        <v>58</v>
      </c>
      <c r="J25" s="9">
        <v>80</v>
      </c>
      <c r="K25" s="5"/>
      <c r="L25" s="6" t="s">
        <v>306</v>
      </c>
      <c r="M25" s="24" t="s">
        <v>178</v>
      </c>
      <c r="N25" s="7">
        <f t="shared" si="76"/>
        <v>1126000</v>
      </c>
      <c r="O25" s="8">
        <v>63</v>
      </c>
      <c r="P25" s="25">
        <v>41228</v>
      </c>
      <c r="Q25" s="8" t="str">
        <f t="shared" si="28"/>
        <v>2DA-NOV</v>
      </c>
      <c r="R25" s="26">
        <v>0</v>
      </c>
      <c r="S25" s="41" t="s">
        <v>34</v>
      </c>
      <c r="T25" s="8" t="s">
        <v>353</v>
      </c>
      <c r="U25" s="8"/>
      <c r="V25" s="7">
        <v>563000</v>
      </c>
      <c r="W25" s="7">
        <f t="shared" si="107"/>
        <v>225200</v>
      </c>
      <c r="X25" s="7">
        <f t="shared" si="29"/>
        <v>337800</v>
      </c>
      <c r="Y25" s="7">
        <v>0</v>
      </c>
      <c r="Z25" s="7">
        <f t="shared" si="30"/>
        <v>225200</v>
      </c>
      <c r="AA25" s="148" t="str">
        <f t="shared" si="31"/>
        <v>40%</v>
      </c>
      <c r="AB25" s="148">
        <f t="shared" si="32"/>
        <v>0.6</v>
      </c>
      <c r="AC25" s="25">
        <v>40982</v>
      </c>
      <c r="AD25" s="25">
        <v>40982</v>
      </c>
      <c r="AE25" s="25">
        <v>40982</v>
      </c>
      <c r="AF25" s="8"/>
      <c r="AG25" s="59" t="str">
        <f t="shared" ca="1" si="34"/>
        <v>NA</v>
      </c>
      <c r="AH25" s="55"/>
      <c r="AI25" s="55"/>
      <c r="AJ25" s="55"/>
      <c r="AK25" s="55"/>
      <c r="AL25" s="55"/>
      <c r="AM25" s="55"/>
      <c r="AN25" s="8"/>
      <c r="AO25" s="8"/>
      <c r="AP25" s="8"/>
      <c r="AQ25" s="8"/>
      <c r="AR25" s="59" t="str">
        <f t="shared" si="90"/>
        <v>NA</v>
      </c>
      <c r="AS25" s="59" t="str">
        <f t="shared" si="91"/>
        <v/>
      </c>
      <c r="AT25" s="59"/>
      <c r="AU25" s="59" t="str">
        <f t="shared" si="1"/>
        <v>ND</v>
      </c>
      <c r="AV25" s="66"/>
      <c r="AW25" s="66"/>
      <c r="AX25" s="66"/>
      <c r="AY25" s="66"/>
      <c r="AZ25" s="8"/>
      <c r="BA25" s="8" t="s">
        <v>37</v>
      </c>
      <c r="BB25" s="8"/>
      <c r="BC25" s="8"/>
      <c r="BD25" s="8"/>
      <c r="BE25" s="8"/>
      <c r="BF25" s="8"/>
      <c r="BG25" s="8"/>
      <c r="BH25" s="8"/>
      <c r="BI25" s="8"/>
      <c r="BJ25" s="8"/>
      <c r="BK25" s="59"/>
      <c r="BL25" s="59"/>
      <c r="BM25" s="59"/>
      <c r="BN25" s="164">
        <v>0.01</v>
      </c>
      <c r="BO25" s="165">
        <f t="shared" si="37"/>
        <v>3753.3333333333335</v>
      </c>
      <c r="BP25" s="165">
        <f t="shared" ref="BP25:BQ25" si="117">BO25</f>
        <v>3753.3333333333335</v>
      </c>
      <c r="BQ25" s="165">
        <f t="shared" si="117"/>
        <v>3753.3333333333335</v>
      </c>
      <c r="BR25" s="59"/>
      <c r="BS25" s="59"/>
      <c r="BT25" s="59"/>
      <c r="BU25" s="59"/>
      <c r="BV25" s="59" t="str">
        <f t="shared" si="83"/>
        <v>ND</v>
      </c>
      <c r="BW25" s="59" t="str">
        <f t="shared" si="84"/>
        <v>ND</v>
      </c>
      <c r="BX25" s="59" t="str">
        <f t="shared" si="85"/>
        <v>ND</v>
      </c>
      <c r="BY25" s="59" t="str">
        <f t="shared" si="86"/>
        <v>ND</v>
      </c>
      <c r="BZ25" s="59" t="str">
        <f t="shared" si="3"/>
        <v>NA</v>
      </c>
      <c r="CA25" s="59" t="str">
        <f t="shared" si="4"/>
        <v/>
      </c>
      <c r="CB25" s="59" t="str">
        <f t="shared" si="5"/>
        <v>NA</v>
      </c>
      <c r="CC25" s="59" t="str">
        <f t="shared" si="6"/>
        <v/>
      </c>
      <c r="CD25" s="59" t="str">
        <f t="shared" si="7"/>
        <v>NA</v>
      </c>
      <c r="CE25" s="59" t="str">
        <f t="shared" si="8"/>
        <v/>
      </c>
      <c r="CF25" s="59" t="str">
        <f t="shared" si="9"/>
        <v>NA</v>
      </c>
      <c r="CG25" s="59" t="str">
        <f t="shared" ca="1" si="10"/>
        <v>NA</v>
      </c>
      <c r="CH25" s="59" t="str">
        <f t="shared" ca="1" si="11"/>
        <v>NA</v>
      </c>
      <c r="CI25" s="59" t="str">
        <f t="shared" ca="1" si="12"/>
        <v>MAYOR A 45 DIAS</v>
      </c>
      <c r="CJ25" s="59" t="str">
        <f t="shared" ca="1" si="13"/>
        <v>MAYOR A 45 DIAS</v>
      </c>
      <c r="CK25" s="59" t="str">
        <f t="shared" ca="1" si="14"/>
        <v>MAYOR A 45 DIAS</v>
      </c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>
        <f t="shared" si="43"/>
        <v>0</v>
      </c>
      <c r="DH25" s="8">
        <f t="shared" si="79"/>
        <v>0</v>
      </c>
      <c r="DI25" s="8">
        <f t="shared" si="44"/>
        <v>0</v>
      </c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59" t="str">
        <f t="shared" si="45"/>
        <v>NA</v>
      </c>
      <c r="DU25" s="59" t="str">
        <f t="shared" si="46"/>
        <v>NA</v>
      </c>
      <c r="DV25" s="59" t="str">
        <f t="shared" si="47"/>
        <v>NA</v>
      </c>
      <c r="DW25" s="59" t="str">
        <f t="shared" si="48"/>
        <v>NA</v>
      </c>
      <c r="DX25" s="59" t="str">
        <f t="shared" si="49"/>
        <v>NA</v>
      </c>
      <c r="DY25" s="59" t="str">
        <f t="shared" si="50"/>
        <v>NA</v>
      </c>
      <c r="DZ25" s="59" t="str">
        <f t="shared" si="51"/>
        <v>NA</v>
      </c>
      <c r="EA25" s="59" t="str">
        <f t="shared" si="52"/>
        <v>NA</v>
      </c>
      <c r="EB25" s="59" t="str">
        <f t="shared" si="53"/>
        <v>NA</v>
      </c>
      <c r="EC25" s="59" t="str">
        <f t="shared" si="54"/>
        <v>NA</v>
      </c>
      <c r="ED25" s="59" t="str">
        <f t="shared" si="55"/>
        <v/>
      </c>
      <c r="EE25" s="59" t="str">
        <f t="shared" si="56"/>
        <v/>
      </c>
      <c r="EF25" s="59" t="str">
        <f t="shared" si="57"/>
        <v/>
      </c>
      <c r="EG25" s="59" t="str">
        <f t="shared" si="58"/>
        <v/>
      </c>
      <c r="EH25" s="59" t="str">
        <f t="shared" si="59"/>
        <v/>
      </c>
      <c r="EI25" s="59" t="str">
        <f t="shared" si="60"/>
        <v/>
      </c>
      <c r="EJ25" s="59" t="str">
        <f t="shared" si="61"/>
        <v/>
      </c>
      <c r="EK25" s="59" t="str">
        <f t="shared" si="62"/>
        <v/>
      </c>
      <c r="EL25" s="59" t="str">
        <f t="shared" si="63"/>
        <v/>
      </c>
      <c r="EM25" s="59" t="str">
        <f t="shared" si="64"/>
        <v/>
      </c>
      <c r="EN25" s="59" t="str">
        <f t="shared" si="65"/>
        <v/>
      </c>
      <c r="EO25" s="59" t="str">
        <f t="shared" si="66"/>
        <v/>
      </c>
      <c r="EP25" s="59" t="str">
        <f t="shared" si="67"/>
        <v/>
      </c>
      <c r="EQ25" s="59" t="str">
        <f t="shared" si="68"/>
        <v/>
      </c>
      <c r="ER25" s="59" t="str">
        <f t="shared" si="69"/>
        <v/>
      </c>
      <c r="ES25" s="59" t="str">
        <f t="shared" si="70"/>
        <v/>
      </c>
      <c r="ET25" s="59" t="str">
        <f t="shared" si="71"/>
        <v/>
      </c>
      <c r="EU25" s="59" t="str">
        <f t="shared" si="72"/>
        <v/>
      </c>
      <c r="EV25" s="59" t="str">
        <f t="shared" si="73"/>
        <v/>
      </c>
      <c r="EW25" s="59" t="str">
        <f t="shared" si="74"/>
        <v/>
      </c>
      <c r="EX25" s="56">
        <f t="shared" si="26"/>
        <v>1126000</v>
      </c>
    </row>
    <row r="26" spans="1:154" x14ac:dyDescent="0.25">
      <c r="A26" s="2">
        <f t="shared" si="75"/>
        <v>25</v>
      </c>
      <c r="B26" s="2" t="s">
        <v>6</v>
      </c>
      <c r="C26" s="2" t="str">
        <f t="shared" si="27"/>
        <v>020306</v>
      </c>
      <c r="D26" s="2">
        <v>2</v>
      </c>
      <c r="E26" s="2">
        <v>3</v>
      </c>
      <c r="F26" s="2">
        <v>6</v>
      </c>
      <c r="G26" s="11" t="s">
        <v>10</v>
      </c>
      <c r="H26" s="4"/>
      <c r="I26" s="42" t="s">
        <v>58</v>
      </c>
      <c r="J26" s="9">
        <v>80</v>
      </c>
      <c r="K26" s="5"/>
      <c r="L26" s="6" t="s">
        <v>306</v>
      </c>
      <c r="M26" s="24" t="s">
        <v>178</v>
      </c>
      <c r="N26" s="7">
        <f t="shared" si="76"/>
        <v>1126000</v>
      </c>
      <c r="O26" s="8">
        <v>64</v>
      </c>
      <c r="P26" s="25">
        <v>41228</v>
      </c>
      <c r="Q26" s="8" t="str">
        <f t="shared" si="28"/>
        <v>2DA-NOV</v>
      </c>
      <c r="R26" s="26">
        <v>0</v>
      </c>
      <c r="S26" s="41" t="s">
        <v>34</v>
      </c>
      <c r="T26" s="8" t="s">
        <v>353</v>
      </c>
      <c r="U26" s="8"/>
      <c r="V26" s="7">
        <v>563000</v>
      </c>
      <c r="W26" s="7">
        <f>+V26*0.2</f>
        <v>112600</v>
      </c>
      <c r="X26" s="7">
        <f t="shared" si="29"/>
        <v>450400</v>
      </c>
      <c r="Y26" s="7">
        <v>0</v>
      </c>
      <c r="Z26" s="7">
        <f t="shared" si="30"/>
        <v>112600</v>
      </c>
      <c r="AA26" s="148" t="str">
        <f t="shared" si="31"/>
        <v>20%</v>
      </c>
      <c r="AB26" s="148">
        <f t="shared" si="32"/>
        <v>0.8</v>
      </c>
      <c r="AC26" s="25">
        <v>41106</v>
      </c>
      <c r="AD26" s="25">
        <v>41106</v>
      </c>
      <c r="AE26" s="25">
        <v>41106</v>
      </c>
      <c r="AF26" s="8"/>
      <c r="AG26" s="59" t="str">
        <f t="shared" ca="1" si="34"/>
        <v>NA</v>
      </c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59" t="str">
        <f t="shared" si="90"/>
        <v>NA</v>
      </c>
      <c r="AS26" s="59" t="str">
        <f t="shared" si="91"/>
        <v/>
      </c>
      <c r="AT26" s="59"/>
      <c r="AU26" s="59" t="str">
        <f t="shared" si="1"/>
        <v>ND</v>
      </c>
      <c r="AV26" s="66"/>
      <c r="AW26" s="66"/>
      <c r="AX26" s="66"/>
      <c r="AY26" s="66"/>
      <c r="AZ26" s="8"/>
      <c r="BA26" s="8" t="s">
        <v>37</v>
      </c>
      <c r="BB26" s="8"/>
      <c r="BC26" s="8"/>
      <c r="BD26" s="8"/>
      <c r="BE26" s="8"/>
      <c r="BF26" s="8"/>
      <c r="BG26" s="8"/>
      <c r="BH26" s="8"/>
      <c r="BI26" s="8"/>
      <c r="BJ26" s="8"/>
      <c r="BK26" s="59"/>
      <c r="BL26" s="59"/>
      <c r="BM26" s="59"/>
      <c r="BN26" s="164">
        <v>0.01</v>
      </c>
      <c r="BO26" s="165">
        <f t="shared" si="37"/>
        <v>3753.3333333333335</v>
      </c>
      <c r="BP26" s="165">
        <f t="shared" ref="BP26:BQ26" si="118">BO26</f>
        <v>3753.3333333333335</v>
      </c>
      <c r="BQ26" s="165">
        <f t="shared" si="118"/>
        <v>3753.3333333333335</v>
      </c>
      <c r="BR26" s="59"/>
      <c r="BS26" s="59"/>
      <c r="BT26" s="59"/>
      <c r="BU26" s="59"/>
      <c r="BV26" s="59" t="str">
        <f t="shared" si="83"/>
        <v>ND</v>
      </c>
      <c r="BW26" s="59" t="str">
        <f t="shared" si="84"/>
        <v>ND</v>
      </c>
      <c r="BX26" s="59" t="str">
        <f t="shared" si="85"/>
        <v>ND</v>
      </c>
      <c r="BY26" s="59" t="str">
        <f t="shared" si="86"/>
        <v>ND</v>
      </c>
      <c r="BZ26" s="59" t="str">
        <f t="shared" si="3"/>
        <v>NA</v>
      </c>
      <c r="CA26" s="59" t="str">
        <f t="shared" si="4"/>
        <v/>
      </c>
      <c r="CB26" s="59" t="str">
        <f t="shared" si="5"/>
        <v>NA</v>
      </c>
      <c r="CC26" s="59" t="str">
        <f t="shared" si="6"/>
        <v/>
      </c>
      <c r="CD26" s="59" t="str">
        <f t="shared" si="7"/>
        <v>NA</v>
      </c>
      <c r="CE26" s="59" t="str">
        <f t="shared" si="8"/>
        <v/>
      </c>
      <c r="CF26" s="59" t="str">
        <f t="shared" si="9"/>
        <v>NA</v>
      </c>
      <c r="CG26" s="59" t="str">
        <f t="shared" ca="1" si="10"/>
        <v>NA</v>
      </c>
      <c r="CH26" s="59" t="str">
        <f t="shared" ca="1" si="11"/>
        <v>NA</v>
      </c>
      <c r="CI26" s="59" t="str">
        <f t="shared" ca="1" si="12"/>
        <v>DE 16 A 20 DIAS</v>
      </c>
      <c r="CJ26" s="59" t="str">
        <f t="shared" ca="1" si="13"/>
        <v>DE 16 A 20 DIAS</v>
      </c>
      <c r="CK26" s="59" t="str">
        <f t="shared" ca="1" si="14"/>
        <v>DE 16 A 20 DIAS</v>
      </c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>
        <f t="shared" si="43"/>
        <v>0</v>
      </c>
      <c r="DH26" s="8">
        <f t="shared" si="79"/>
        <v>0</v>
      </c>
      <c r="DI26" s="8">
        <f t="shared" si="44"/>
        <v>0</v>
      </c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59" t="str">
        <f t="shared" si="45"/>
        <v>NA</v>
      </c>
      <c r="DU26" s="59" t="str">
        <f t="shared" si="46"/>
        <v>NA</v>
      </c>
      <c r="DV26" s="59" t="str">
        <f t="shared" si="47"/>
        <v>NA</v>
      </c>
      <c r="DW26" s="59" t="str">
        <f t="shared" si="48"/>
        <v>NA</v>
      </c>
      <c r="DX26" s="59" t="str">
        <f t="shared" si="49"/>
        <v>NA</v>
      </c>
      <c r="DY26" s="59" t="str">
        <f t="shared" si="50"/>
        <v>NA</v>
      </c>
      <c r="DZ26" s="59" t="str">
        <f t="shared" si="51"/>
        <v>NA</v>
      </c>
      <c r="EA26" s="59" t="str">
        <f t="shared" si="52"/>
        <v>NA</v>
      </c>
      <c r="EB26" s="59" t="str">
        <f t="shared" si="53"/>
        <v>NA</v>
      </c>
      <c r="EC26" s="59" t="str">
        <f t="shared" si="54"/>
        <v>NA</v>
      </c>
      <c r="ED26" s="59" t="str">
        <f t="shared" si="55"/>
        <v/>
      </c>
      <c r="EE26" s="59" t="str">
        <f t="shared" si="56"/>
        <v/>
      </c>
      <c r="EF26" s="59" t="str">
        <f t="shared" si="57"/>
        <v/>
      </c>
      <c r="EG26" s="59" t="str">
        <f t="shared" si="58"/>
        <v/>
      </c>
      <c r="EH26" s="59" t="str">
        <f t="shared" si="59"/>
        <v/>
      </c>
      <c r="EI26" s="59" t="str">
        <f t="shared" si="60"/>
        <v/>
      </c>
      <c r="EJ26" s="59" t="str">
        <f t="shared" si="61"/>
        <v/>
      </c>
      <c r="EK26" s="59" t="str">
        <f t="shared" si="62"/>
        <v/>
      </c>
      <c r="EL26" s="59" t="str">
        <f t="shared" si="63"/>
        <v/>
      </c>
      <c r="EM26" s="59" t="str">
        <f t="shared" si="64"/>
        <v/>
      </c>
      <c r="EN26" s="59" t="str">
        <f t="shared" si="65"/>
        <v/>
      </c>
      <c r="EO26" s="59" t="str">
        <f t="shared" si="66"/>
        <v/>
      </c>
      <c r="EP26" s="59" t="str">
        <f t="shared" si="67"/>
        <v/>
      </c>
      <c r="EQ26" s="59" t="str">
        <f t="shared" si="68"/>
        <v/>
      </c>
      <c r="ER26" s="59" t="str">
        <f t="shared" si="69"/>
        <v/>
      </c>
      <c r="ES26" s="59" t="str">
        <f t="shared" si="70"/>
        <v/>
      </c>
      <c r="ET26" s="59" t="str">
        <f t="shared" si="71"/>
        <v/>
      </c>
      <c r="EU26" s="59" t="str">
        <f t="shared" si="72"/>
        <v/>
      </c>
      <c r="EV26" s="59" t="str">
        <f t="shared" si="73"/>
        <v/>
      </c>
      <c r="EW26" s="59" t="str">
        <f t="shared" si="74"/>
        <v/>
      </c>
      <c r="EX26" s="56">
        <f t="shared" si="26"/>
        <v>1126000</v>
      </c>
    </row>
    <row r="27" spans="1:154" x14ac:dyDescent="0.25">
      <c r="A27" s="2">
        <f t="shared" si="75"/>
        <v>26</v>
      </c>
      <c r="B27" s="2" t="s">
        <v>6</v>
      </c>
      <c r="C27" s="2" t="str">
        <f t="shared" si="27"/>
        <v>020307</v>
      </c>
      <c r="D27" s="2">
        <v>2</v>
      </c>
      <c r="E27" s="2">
        <v>3</v>
      </c>
      <c r="F27" s="2">
        <v>7</v>
      </c>
      <c r="G27" s="11" t="s">
        <v>10</v>
      </c>
      <c r="H27" s="4"/>
      <c r="I27" s="42" t="s">
        <v>58</v>
      </c>
      <c r="J27" s="9">
        <v>80</v>
      </c>
      <c r="K27" s="9"/>
      <c r="L27" s="10" t="s">
        <v>8</v>
      </c>
      <c r="M27" s="24" t="s">
        <v>178</v>
      </c>
      <c r="N27" s="7">
        <f t="shared" si="76"/>
        <v>1135000</v>
      </c>
      <c r="O27" s="8">
        <v>65</v>
      </c>
      <c r="P27" s="25">
        <v>41228</v>
      </c>
      <c r="Q27" s="8" t="str">
        <f t="shared" si="28"/>
        <v>2DA-NOV</v>
      </c>
      <c r="R27" s="26">
        <v>0</v>
      </c>
      <c r="S27" s="41" t="s">
        <v>34</v>
      </c>
      <c r="T27" s="8" t="s">
        <v>353</v>
      </c>
      <c r="U27" s="8"/>
      <c r="V27" s="7">
        <v>567500</v>
      </c>
      <c r="W27" s="7">
        <f t="shared" ref="W27:W36" si="119">+V27*0.2</f>
        <v>113500</v>
      </c>
      <c r="X27" s="7">
        <f t="shared" si="29"/>
        <v>454000</v>
      </c>
      <c r="Y27" s="7">
        <v>0</v>
      </c>
      <c r="Z27" s="7">
        <f t="shared" si="30"/>
        <v>113500</v>
      </c>
      <c r="AA27" s="148" t="str">
        <f t="shared" si="31"/>
        <v>20%</v>
      </c>
      <c r="AB27" s="148">
        <f t="shared" si="32"/>
        <v>0.8</v>
      </c>
      <c r="AC27" s="25">
        <v>41090</v>
      </c>
      <c r="AD27" s="25">
        <v>41090</v>
      </c>
      <c r="AE27" s="25">
        <v>41090</v>
      </c>
      <c r="AF27" s="8"/>
      <c r="AG27" s="59" t="str">
        <f t="shared" ca="1" si="34"/>
        <v>NA</v>
      </c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59" t="str">
        <f t="shared" si="90"/>
        <v>NA</v>
      </c>
      <c r="AS27" s="59" t="str">
        <f t="shared" si="91"/>
        <v/>
      </c>
      <c r="AT27" s="59"/>
      <c r="AU27" s="59" t="str">
        <f t="shared" si="1"/>
        <v>ND</v>
      </c>
      <c r="AV27" s="66"/>
      <c r="AW27" s="66"/>
      <c r="AX27" s="66"/>
      <c r="AY27" s="66"/>
      <c r="AZ27" s="8"/>
      <c r="BA27" s="8" t="s">
        <v>37</v>
      </c>
      <c r="BB27" s="8"/>
      <c r="BC27" s="8"/>
      <c r="BD27" s="8"/>
      <c r="BE27" s="8"/>
      <c r="BF27" s="8"/>
      <c r="BG27" s="8"/>
      <c r="BH27" s="8"/>
      <c r="BI27" s="8"/>
      <c r="BJ27" s="8"/>
      <c r="BK27" s="59"/>
      <c r="BL27" s="59"/>
      <c r="BM27" s="59"/>
      <c r="BN27" s="164">
        <v>0.01</v>
      </c>
      <c r="BO27" s="165">
        <f t="shared" si="37"/>
        <v>3783.3333333333335</v>
      </c>
      <c r="BP27" s="165">
        <f t="shared" ref="BP27:BQ27" si="120">BO27</f>
        <v>3783.3333333333335</v>
      </c>
      <c r="BQ27" s="165">
        <f t="shared" si="120"/>
        <v>3783.3333333333335</v>
      </c>
      <c r="BR27" s="59"/>
      <c r="BS27" s="59"/>
      <c r="BT27" s="59"/>
      <c r="BU27" s="59"/>
      <c r="BV27" s="59" t="str">
        <f t="shared" si="83"/>
        <v>ND</v>
      </c>
      <c r="BW27" s="59" t="str">
        <f t="shared" si="84"/>
        <v>ND</v>
      </c>
      <c r="BX27" s="59" t="str">
        <f t="shared" si="85"/>
        <v>ND</v>
      </c>
      <c r="BY27" s="59" t="str">
        <f t="shared" si="86"/>
        <v>ND</v>
      </c>
      <c r="BZ27" s="59" t="str">
        <f t="shared" si="3"/>
        <v>NA</v>
      </c>
      <c r="CA27" s="59" t="str">
        <f t="shared" si="4"/>
        <v/>
      </c>
      <c r="CB27" s="59" t="str">
        <f t="shared" si="5"/>
        <v>NA</v>
      </c>
      <c r="CC27" s="59" t="str">
        <f t="shared" si="6"/>
        <v/>
      </c>
      <c r="CD27" s="59" t="str">
        <f t="shared" si="7"/>
        <v>NA</v>
      </c>
      <c r="CE27" s="59" t="str">
        <f t="shared" si="8"/>
        <v/>
      </c>
      <c r="CF27" s="59" t="str">
        <f t="shared" si="9"/>
        <v>NA</v>
      </c>
      <c r="CG27" s="59" t="str">
        <f t="shared" ca="1" si="10"/>
        <v>NA</v>
      </c>
      <c r="CH27" s="59" t="str">
        <f t="shared" ca="1" si="11"/>
        <v>NA</v>
      </c>
      <c r="CI27" s="59" t="str">
        <f t="shared" ca="1" si="12"/>
        <v>DE 31 A 35 DIAS</v>
      </c>
      <c r="CJ27" s="59" t="str">
        <f t="shared" ca="1" si="13"/>
        <v>DE 31 A 35 DIAS</v>
      </c>
      <c r="CK27" s="59" t="str">
        <f t="shared" ca="1" si="14"/>
        <v>DE 31 A 35 DIAS</v>
      </c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>
        <f t="shared" si="43"/>
        <v>0</v>
      </c>
      <c r="DH27" s="8">
        <f t="shared" si="79"/>
        <v>0</v>
      </c>
      <c r="DI27" s="8">
        <f t="shared" si="44"/>
        <v>0</v>
      </c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59" t="str">
        <f t="shared" si="45"/>
        <v>NA</v>
      </c>
      <c r="DU27" s="59" t="str">
        <f t="shared" si="46"/>
        <v>NA</v>
      </c>
      <c r="DV27" s="59" t="str">
        <f t="shared" si="47"/>
        <v>NA</v>
      </c>
      <c r="DW27" s="59" t="str">
        <f t="shared" si="48"/>
        <v>NA</v>
      </c>
      <c r="DX27" s="59" t="str">
        <f t="shared" si="49"/>
        <v>NA</v>
      </c>
      <c r="DY27" s="59" t="str">
        <f t="shared" si="50"/>
        <v>NA</v>
      </c>
      <c r="DZ27" s="59" t="str">
        <f t="shared" si="51"/>
        <v>NA</v>
      </c>
      <c r="EA27" s="59" t="str">
        <f t="shared" si="52"/>
        <v>NA</v>
      </c>
      <c r="EB27" s="59" t="str">
        <f t="shared" si="53"/>
        <v>NA</v>
      </c>
      <c r="EC27" s="59" t="str">
        <f t="shared" si="54"/>
        <v>NA</v>
      </c>
      <c r="ED27" s="59" t="str">
        <f t="shared" si="55"/>
        <v/>
      </c>
      <c r="EE27" s="59" t="str">
        <f t="shared" si="56"/>
        <v/>
      </c>
      <c r="EF27" s="59" t="str">
        <f t="shared" si="57"/>
        <v/>
      </c>
      <c r="EG27" s="59" t="str">
        <f t="shared" si="58"/>
        <v/>
      </c>
      <c r="EH27" s="59" t="str">
        <f t="shared" si="59"/>
        <v/>
      </c>
      <c r="EI27" s="59" t="str">
        <f t="shared" si="60"/>
        <v/>
      </c>
      <c r="EJ27" s="59" t="str">
        <f t="shared" si="61"/>
        <v/>
      </c>
      <c r="EK27" s="59" t="str">
        <f t="shared" si="62"/>
        <v/>
      </c>
      <c r="EL27" s="59" t="str">
        <f t="shared" si="63"/>
        <v/>
      </c>
      <c r="EM27" s="59" t="str">
        <f t="shared" si="64"/>
        <v/>
      </c>
      <c r="EN27" s="59" t="str">
        <f t="shared" si="65"/>
        <v/>
      </c>
      <c r="EO27" s="59" t="str">
        <f t="shared" si="66"/>
        <v/>
      </c>
      <c r="EP27" s="59" t="str">
        <f t="shared" si="67"/>
        <v/>
      </c>
      <c r="EQ27" s="59" t="str">
        <f t="shared" si="68"/>
        <v/>
      </c>
      <c r="ER27" s="59" t="str">
        <f t="shared" si="69"/>
        <v/>
      </c>
      <c r="ES27" s="59" t="str">
        <f t="shared" si="70"/>
        <v/>
      </c>
      <c r="ET27" s="59" t="str">
        <f t="shared" si="71"/>
        <v/>
      </c>
      <c r="EU27" s="59" t="str">
        <f t="shared" si="72"/>
        <v/>
      </c>
      <c r="EV27" s="59" t="str">
        <f t="shared" si="73"/>
        <v/>
      </c>
      <c r="EW27" s="59" t="str">
        <f t="shared" si="74"/>
        <v/>
      </c>
      <c r="EX27" s="56">
        <f t="shared" si="26"/>
        <v>1135000</v>
      </c>
    </row>
    <row r="28" spans="1:154" x14ac:dyDescent="0.25">
      <c r="A28" s="2">
        <f t="shared" si="75"/>
        <v>27</v>
      </c>
      <c r="B28" s="2" t="s">
        <v>6</v>
      </c>
      <c r="C28" s="2" t="str">
        <f t="shared" si="27"/>
        <v>020308</v>
      </c>
      <c r="D28" s="2">
        <v>2</v>
      </c>
      <c r="E28" s="2">
        <v>3</v>
      </c>
      <c r="F28" s="13">
        <v>8</v>
      </c>
      <c r="G28" s="14" t="s">
        <v>11</v>
      </c>
      <c r="H28" s="130"/>
      <c r="I28" s="42" t="s">
        <v>58</v>
      </c>
      <c r="J28" s="15">
        <v>101.45</v>
      </c>
      <c r="K28" s="15"/>
      <c r="L28" s="12" t="s">
        <v>8</v>
      </c>
      <c r="M28" s="24" t="s">
        <v>178</v>
      </c>
      <c r="N28" s="7">
        <f t="shared" si="76"/>
        <v>1216510</v>
      </c>
      <c r="O28" s="8">
        <v>66</v>
      </c>
      <c r="P28" s="25">
        <v>41243</v>
      </c>
      <c r="Q28" s="8" t="str">
        <f t="shared" si="28"/>
        <v>2DA-NOV</v>
      </c>
      <c r="R28" s="26">
        <v>0</v>
      </c>
      <c r="S28" s="41" t="s">
        <v>34</v>
      </c>
      <c r="T28" s="8" t="s">
        <v>353</v>
      </c>
      <c r="U28" s="8"/>
      <c r="V28" s="7">
        <v>608255</v>
      </c>
      <c r="W28" s="7">
        <f t="shared" si="119"/>
        <v>121651</v>
      </c>
      <c r="X28" s="7">
        <f t="shared" si="29"/>
        <v>486604</v>
      </c>
      <c r="Y28" s="7">
        <v>0</v>
      </c>
      <c r="Z28" s="7">
        <f t="shared" si="30"/>
        <v>121651</v>
      </c>
      <c r="AA28" s="148" t="str">
        <f t="shared" si="31"/>
        <v>20%</v>
      </c>
      <c r="AB28" s="148">
        <f t="shared" si="32"/>
        <v>0.8</v>
      </c>
      <c r="AC28" s="25">
        <v>41075</v>
      </c>
      <c r="AD28" s="25">
        <v>41075</v>
      </c>
      <c r="AE28" s="25">
        <v>41075</v>
      </c>
      <c r="AF28" s="8"/>
      <c r="AG28" s="59" t="str">
        <f t="shared" ca="1" si="34"/>
        <v>NA</v>
      </c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59" t="str">
        <f t="shared" si="90"/>
        <v>NA</v>
      </c>
      <c r="AS28" s="59" t="str">
        <f t="shared" si="91"/>
        <v/>
      </c>
      <c r="AT28" s="59"/>
      <c r="AU28" s="59" t="str">
        <f t="shared" si="1"/>
        <v>ND</v>
      </c>
      <c r="AV28" s="66"/>
      <c r="AW28" s="66"/>
      <c r="AX28" s="66"/>
      <c r="AY28" s="66"/>
      <c r="AZ28" s="8"/>
      <c r="BA28" s="8" t="s">
        <v>37</v>
      </c>
      <c r="BB28" s="8"/>
      <c r="BC28" s="8"/>
      <c r="BD28" s="8"/>
      <c r="BE28" s="8"/>
      <c r="BF28" s="8"/>
      <c r="BG28" s="8"/>
      <c r="BH28" s="8"/>
      <c r="BI28" s="8"/>
      <c r="BJ28" s="8"/>
      <c r="BK28" s="59"/>
      <c r="BL28" s="59"/>
      <c r="BM28" s="59"/>
      <c r="BN28" s="164">
        <v>0.01</v>
      </c>
      <c r="BO28" s="165">
        <f t="shared" si="37"/>
        <v>4055.0333333333333</v>
      </c>
      <c r="BP28" s="165">
        <f t="shared" ref="BP28:BQ28" si="121">BO28</f>
        <v>4055.0333333333333</v>
      </c>
      <c r="BQ28" s="165">
        <f t="shared" si="121"/>
        <v>4055.0333333333333</v>
      </c>
      <c r="BR28" s="59"/>
      <c r="BS28" s="59"/>
      <c r="BT28" s="59"/>
      <c r="BU28" s="59"/>
      <c r="BV28" s="59" t="str">
        <f t="shared" si="83"/>
        <v>ND</v>
      </c>
      <c r="BW28" s="59" t="str">
        <f t="shared" si="84"/>
        <v>ND</v>
      </c>
      <c r="BX28" s="59" t="str">
        <f t="shared" si="85"/>
        <v>ND</v>
      </c>
      <c r="BY28" s="59" t="str">
        <f t="shared" si="86"/>
        <v>ND</v>
      </c>
      <c r="BZ28" s="59" t="str">
        <f t="shared" si="3"/>
        <v>NA</v>
      </c>
      <c r="CA28" s="59" t="str">
        <f t="shared" si="4"/>
        <v/>
      </c>
      <c r="CB28" s="59" t="str">
        <f t="shared" si="5"/>
        <v>NA</v>
      </c>
      <c r="CC28" s="59" t="str">
        <f t="shared" si="6"/>
        <v/>
      </c>
      <c r="CD28" s="59" t="str">
        <f t="shared" si="7"/>
        <v>NA</v>
      </c>
      <c r="CE28" s="59" t="str">
        <f t="shared" si="8"/>
        <v/>
      </c>
      <c r="CF28" s="59" t="str">
        <f t="shared" si="9"/>
        <v>NA</v>
      </c>
      <c r="CG28" s="59" t="str">
        <f t="shared" ca="1" si="10"/>
        <v>NA</v>
      </c>
      <c r="CH28" s="59" t="str">
        <f t="shared" ca="1" si="11"/>
        <v>NA</v>
      </c>
      <c r="CI28" s="59" t="str">
        <f t="shared" ca="1" si="12"/>
        <v>MAYOR A 45 DIAS</v>
      </c>
      <c r="CJ28" s="59" t="str">
        <f t="shared" ca="1" si="13"/>
        <v>MAYOR A 45 DIAS</v>
      </c>
      <c r="CK28" s="59" t="str">
        <f t="shared" ca="1" si="14"/>
        <v>MAYOR A 45 DIAS</v>
      </c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>
        <f t="shared" si="43"/>
        <v>0</v>
      </c>
      <c r="DH28" s="8">
        <f t="shared" si="79"/>
        <v>0</v>
      </c>
      <c r="DI28" s="8">
        <f t="shared" si="44"/>
        <v>0</v>
      </c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59" t="str">
        <f t="shared" si="45"/>
        <v>NA</v>
      </c>
      <c r="DU28" s="59" t="str">
        <f t="shared" si="46"/>
        <v>NA</v>
      </c>
      <c r="DV28" s="59" t="str">
        <f t="shared" si="47"/>
        <v>NA</v>
      </c>
      <c r="DW28" s="59" t="str">
        <f t="shared" si="48"/>
        <v>NA</v>
      </c>
      <c r="DX28" s="59" t="str">
        <f t="shared" si="49"/>
        <v>NA</v>
      </c>
      <c r="DY28" s="59" t="str">
        <f t="shared" si="50"/>
        <v>NA</v>
      </c>
      <c r="DZ28" s="59" t="str">
        <f t="shared" si="51"/>
        <v>NA</v>
      </c>
      <c r="EA28" s="59" t="str">
        <f t="shared" si="52"/>
        <v>NA</v>
      </c>
      <c r="EB28" s="59" t="str">
        <f t="shared" si="53"/>
        <v>NA</v>
      </c>
      <c r="EC28" s="59" t="str">
        <f t="shared" si="54"/>
        <v>NA</v>
      </c>
      <c r="ED28" s="59" t="str">
        <f t="shared" si="55"/>
        <v/>
      </c>
      <c r="EE28" s="59" t="str">
        <f t="shared" si="56"/>
        <v/>
      </c>
      <c r="EF28" s="59" t="str">
        <f t="shared" si="57"/>
        <v/>
      </c>
      <c r="EG28" s="59" t="str">
        <f t="shared" si="58"/>
        <v/>
      </c>
      <c r="EH28" s="59" t="str">
        <f t="shared" si="59"/>
        <v/>
      </c>
      <c r="EI28" s="59" t="str">
        <f t="shared" si="60"/>
        <v/>
      </c>
      <c r="EJ28" s="59" t="str">
        <f t="shared" si="61"/>
        <v/>
      </c>
      <c r="EK28" s="59" t="str">
        <f t="shared" si="62"/>
        <v/>
      </c>
      <c r="EL28" s="59" t="str">
        <f t="shared" si="63"/>
        <v/>
      </c>
      <c r="EM28" s="59" t="str">
        <f t="shared" si="64"/>
        <v/>
      </c>
      <c r="EN28" s="59" t="str">
        <f t="shared" si="65"/>
        <v/>
      </c>
      <c r="EO28" s="59" t="str">
        <f t="shared" si="66"/>
        <v/>
      </c>
      <c r="EP28" s="59" t="str">
        <f t="shared" si="67"/>
        <v/>
      </c>
      <c r="EQ28" s="59" t="str">
        <f t="shared" si="68"/>
        <v/>
      </c>
      <c r="ER28" s="59" t="str">
        <f t="shared" si="69"/>
        <v/>
      </c>
      <c r="ES28" s="59" t="str">
        <f t="shared" si="70"/>
        <v/>
      </c>
      <c r="ET28" s="59" t="str">
        <f t="shared" si="71"/>
        <v/>
      </c>
      <c r="EU28" s="59" t="str">
        <f t="shared" si="72"/>
        <v/>
      </c>
      <c r="EV28" s="59" t="str">
        <f t="shared" si="73"/>
        <v/>
      </c>
      <c r="EW28" s="59" t="str">
        <f t="shared" si="74"/>
        <v/>
      </c>
      <c r="EX28" s="56">
        <f t="shared" si="26"/>
        <v>1216510</v>
      </c>
    </row>
    <row r="29" spans="1:154" x14ac:dyDescent="0.25">
      <c r="A29" s="2">
        <f t="shared" si="75"/>
        <v>28</v>
      </c>
      <c r="B29" s="2" t="s">
        <v>6</v>
      </c>
      <c r="C29" s="2" t="str">
        <f t="shared" si="27"/>
        <v>020309</v>
      </c>
      <c r="D29" s="2">
        <v>2</v>
      </c>
      <c r="E29" s="2">
        <v>3</v>
      </c>
      <c r="F29" s="2">
        <v>9</v>
      </c>
      <c r="G29" s="14" t="s">
        <v>11</v>
      </c>
      <c r="H29" s="130"/>
      <c r="I29" s="42" t="s">
        <v>58</v>
      </c>
      <c r="J29" s="9">
        <v>88.497</v>
      </c>
      <c r="K29" s="5"/>
      <c r="L29" s="6" t="s">
        <v>306</v>
      </c>
      <c r="M29" s="24" t="s">
        <v>178</v>
      </c>
      <c r="N29" s="7">
        <f t="shared" si="76"/>
        <v>1158288.6000000001</v>
      </c>
      <c r="O29" s="8">
        <v>67</v>
      </c>
      <c r="P29" s="25">
        <v>41243</v>
      </c>
      <c r="Q29" s="8" t="str">
        <f t="shared" si="28"/>
        <v>2DA-NOV</v>
      </c>
      <c r="R29" s="26">
        <v>0</v>
      </c>
      <c r="S29" s="41" t="s">
        <v>34</v>
      </c>
      <c r="T29" s="8" t="s">
        <v>353</v>
      </c>
      <c r="U29" s="8"/>
      <c r="V29" s="7">
        <v>579144.30000000005</v>
      </c>
      <c r="W29" s="7">
        <f t="shared" si="119"/>
        <v>115828.86000000002</v>
      </c>
      <c r="X29" s="7">
        <f t="shared" si="29"/>
        <v>463315.44000000006</v>
      </c>
      <c r="Y29" s="7">
        <v>0</v>
      </c>
      <c r="Z29" s="7">
        <f t="shared" si="30"/>
        <v>115828.86000000002</v>
      </c>
      <c r="AA29" s="148" t="str">
        <f t="shared" si="31"/>
        <v>20%</v>
      </c>
      <c r="AB29" s="148">
        <f t="shared" si="32"/>
        <v>0.8</v>
      </c>
      <c r="AC29" s="25">
        <v>41061</v>
      </c>
      <c r="AD29" s="25">
        <v>41061</v>
      </c>
      <c r="AE29" s="25">
        <v>41061</v>
      </c>
      <c r="AF29" s="8"/>
      <c r="AG29" s="59" t="str">
        <f t="shared" ca="1" si="34"/>
        <v>NA</v>
      </c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59" t="str">
        <f t="shared" si="90"/>
        <v>NA</v>
      </c>
      <c r="AS29" s="59" t="str">
        <f t="shared" si="91"/>
        <v/>
      </c>
      <c r="AT29" s="59"/>
      <c r="AU29" s="59" t="str">
        <f t="shared" si="1"/>
        <v>ND</v>
      </c>
      <c r="AV29" s="66"/>
      <c r="AW29" s="66"/>
      <c r="AX29" s="66"/>
      <c r="AY29" s="66"/>
      <c r="AZ29" s="8"/>
      <c r="BA29" s="8" t="s">
        <v>37</v>
      </c>
      <c r="BB29" s="8"/>
      <c r="BC29" s="8"/>
      <c r="BD29" s="8"/>
      <c r="BE29" s="8"/>
      <c r="BF29" s="8"/>
      <c r="BG29" s="8"/>
      <c r="BH29" s="8"/>
      <c r="BI29" s="8"/>
      <c r="BJ29" s="8"/>
      <c r="BK29" s="59"/>
      <c r="BL29" s="59"/>
      <c r="BM29" s="59"/>
      <c r="BN29" s="164">
        <v>0.01</v>
      </c>
      <c r="BO29" s="165">
        <f t="shared" si="37"/>
        <v>3860.962</v>
      </c>
      <c r="BP29" s="165">
        <f t="shared" ref="BP29:BQ29" si="122">BO29</f>
        <v>3860.962</v>
      </c>
      <c r="BQ29" s="165">
        <f t="shared" si="122"/>
        <v>3860.962</v>
      </c>
      <c r="BR29" s="59"/>
      <c r="BS29" s="59"/>
      <c r="BT29" s="59"/>
      <c r="BU29" s="59"/>
      <c r="BV29" s="59" t="str">
        <f t="shared" si="83"/>
        <v>ND</v>
      </c>
      <c r="BW29" s="59" t="str">
        <f t="shared" si="84"/>
        <v>ND</v>
      </c>
      <c r="BX29" s="59" t="str">
        <f t="shared" si="85"/>
        <v>ND</v>
      </c>
      <c r="BY29" s="59" t="str">
        <f t="shared" si="86"/>
        <v>ND</v>
      </c>
      <c r="BZ29" s="59" t="str">
        <f t="shared" si="3"/>
        <v>NA</v>
      </c>
      <c r="CA29" s="59" t="str">
        <f t="shared" si="4"/>
        <v/>
      </c>
      <c r="CB29" s="59" t="str">
        <f t="shared" si="5"/>
        <v>NA</v>
      </c>
      <c r="CC29" s="59" t="str">
        <f t="shared" si="6"/>
        <v/>
      </c>
      <c r="CD29" s="59" t="str">
        <f t="shared" si="7"/>
        <v>NA</v>
      </c>
      <c r="CE29" s="59" t="str">
        <f t="shared" si="8"/>
        <v/>
      </c>
      <c r="CF29" s="59" t="str">
        <f t="shared" si="9"/>
        <v>NA</v>
      </c>
      <c r="CG29" s="59" t="str">
        <f t="shared" ca="1" si="10"/>
        <v>NA</v>
      </c>
      <c r="CH29" s="59" t="str">
        <f t="shared" ca="1" si="11"/>
        <v>NA</v>
      </c>
      <c r="CI29" s="59" t="str">
        <f t="shared" ca="1" si="12"/>
        <v>MAYOR A 45 DIAS</v>
      </c>
      <c r="CJ29" s="59" t="str">
        <f t="shared" ca="1" si="13"/>
        <v>MAYOR A 45 DIAS</v>
      </c>
      <c r="CK29" s="59" t="str">
        <f t="shared" ca="1" si="14"/>
        <v>MAYOR A 45 DIAS</v>
      </c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>
        <f t="shared" si="43"/>
        <v>0</v>
      </c>
      <c r="DH29" s="8">
        <f t="shared" si="79"/>
        <v>0</v>
      </c>
      <c r="DI29" s="8">
        <f t="shared" si="44"/>
        <v>0</v>
      </c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59" t="str">
        <f t="shared" si="45"/>
        <v>NA</v>
      </c>
      <c r="DU29" s="59" t="str">
        <f t="shared" si="46"/>
        <v>NA</v>
      </c>
      <c r="DV29" s="59" t="str">
        <f t="shared" si="47"/>
        <v>NA</v>
      </c>
      <c r="DW29" s="59" t="str">
        <f t="shared" si="48"/>
        <v>NA</v>
      </c>
      <c r="DX29" s="59" t="str">
        <f t="shared" si="49"/>
        <v>NA</v>
      </c>
      <c r="DY29" s="59" t="str">
        <f t="shared" si="50"/>
        <v>NA</v>
      </c>
      <c r="DZ29" s="59" t="str">
        <f t="shared" si="51"/>
        <v>NA</v>
      </c>
      <c r="EA29" s="59" t="str">
        <f t="shared" si="52"/>
        <v>NA</v>
      </c>
      <c r="EB29" s="59" t="str">
        <f t="shared" si="53"/>
        <v>NA</v>
      </c>
      <c r="EC29" s="59" t="str">
        <f t="shared" si="54"/>
        <v>NA</v>
      </c>
      <c r="ED29" s="59" t="str">
        <f t="shared" si="55"/>
        <v/>
      </c>
      <c r="EE29" s="59" t="str">
        <f t="shared" si="56"/>
        <v/>
      </c>
      <c r="EF29" s="59" t="str">
        <f t="shared" si="57"/>
        <v/>
      </c>
      <c r="EG29" s="59" t="str">
        <f t="shared" si="58"/>
        <v/>
      </c>
      <c r="EH29" s="59" t="str">
        <f t="shared" si="59"/>
        <v/>
      </c>
      <c r="EI29" s="59" t="str">
        <f t="shared" si="60"/>
        <v/>
      </c>
      <c r="EJ29" s="59" t="str">
        <f t="shared" si="61"/>
        <v/>
      </c>
      <c r="EK29" s="59" t="str">
        <f t="shared" si="62"/>
        <v/>
      </c>
      <c r="EL29" s="59" t="str">
        <f t="shared" si="63"/>
        <v/>
      </c>
      <c r="EM29" s="59" t="str">
        <f t="shared" si="64"/>
        <v/>
      </c>
      <c r="EN29" s="59" t="str">
        <f t="shared" si="65"/>
        <v/>
      </c>
      <c r="EO29" s="59" t="str">
        <f t="shared" si="66"/>
        <v/>
      </c>
      <c r="EP29" s="59" t="str">
        <f t="shared" si="67"/>
        <v/>
      </c>
      <c r="EQ29" s="59" t="str">
        <f t="shared" si="68"/>
        <v/>
      </c>
      <c r="ER29" s="59" t="str">
        <f t="shared" si="69"/>
        <v/>
      </c>
      <c r="ES29" s="59" t="str">
        <f t="shared" si="70"/>
        <v/>
      </c>
      <c r="ET29" s="59" t="str">
        <f t="shared" si="71"/>
        <v/>
      </c>
      <c r="EU29" s="59" t="str">
        <f t="shared" si="72"/>
        <v/>
      </c>
      <c r="EV29" s="59" t="str">
        <f t="shared" si="73"/>
        <v/>
      </c>
      <c r="EW29" s="59" t="str">
        <f t="shared" si="74"/>
        <v/>
      </c>
      <c r="EX29" s="56">
        <f t="shared" si="26"/>
        <v>1158288.6000000001</v>
      </c>
    </row>
    <row r="30" spans="1:154" x14ac:dyDescent="0.25">
      <c r="A30" s="2">
        <f t="shared" si="75"/>
        <v>29</v>
      </c>
      <c r="B30" s="2" t="s">
        <v>6</v>
      </c>
      <c r="C30" s="2" t="str">
        <f t="shared" si="27"/>
        <v>020310</v>
      </c>
      <c r="D30" s="2">
        <v>2</v>
      </c>
      <c r="E30" s="2">
        <v>3</v>
      </c>
      <c r="F30" s="2">
        <v>10</v>
      </c>
      <c r="G30" s="14" t="s">
        <v>11</v>
      </c>
      <c r="H30" s="130"/>
      <c r="I30" s="42" t="s">
        <v>58</v>
      </c>
      <c r="J30" s="9">
        <v>92.209000000000003</v>
      </c>
      <c r="K30" s="5"/>
      <c r="L30" s="6" t="s">
        <v>306</v>
      </c>
      <c r="M30" s="24" t="s">
        <v>178</v>
      </c>
      <c r="N30" s="7">
        <f t="shared" si="76"/>
        <v>1172394.2</v>
      </c>
      <c r="O30" s="8">
        <v>68</v>
      </c>
      <c r="P30" s="25">
        <v>41243</v>
      </c>
      <c r="Q30" s="8" t="str">
        <f t="shared" si="28"/>
        <v>2DA-NOV</v>
      </c>
      <c r="R30" s="26">
        <v>0</v>
      </c>
      <c r="S30" s="41" t="s">
        <v>34</v>
      </c>
      <c r="T30" s="8" t="s">
        <v>353</v>
      </c>
      <c r="U30" s="8"/>
      <c r="V30" s="7">
        <v>586197.1</v>
      </c>
      <c r="W30" s="7">
        <f t="shared" si="119"/>
        <v>117239.42</v>
      </c>
      <c r="X30" s="7">
        <f t="shared" si="29"/>
        <v>468957.68</v>
      </c>
      <c r="Y30" s="7">
        <v>0</v>
      </c>
      <c r="Z30" s="7">
        <f t="shared" si="30"/>
        <v>117239.42</v>
      </c>
      <c r="AA30" s="148" t="str">
        <f t="shared" si="31"/>
        <v>20%</v>
      </c>
      <c r="AB30" s="148">
        <f t="shared" si="32"/>
        <v>0.8</v>
      </c>
      <c r="AC30" s="25">
        <v>41067</v>
      </c>
      <c r="AD30" s="25">
        <v>41067</v>
      </c>
      <c r="AE30" s="25">
        <v>41067</v>
      </c>
      <c r="AF30" s="8"/>
      <c r="AG30" s="59" t="str">
        <f t="shared" ca="1" si="34"/>
        <v>NA</v>
      </c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59" t="str">
        <f t="shared" si="90"/>
        <v>NA</v>
      </c>
      <c r="AS30" s="59" t="str">
        <f t="shared" si="91"/>
        <v/>
      </c>
      <c r="AT30" s="59"/>
      <c r="AU30" s="59" t="str">
        <f t="shared" si="1"/>
        <v>ND</v>
      </c>
      <c r="AV30" s="66"/>
      <c r="AW30" s="66"/>
      <c r="AX30" s="66"/>
      <c r="AY30" s="66"/>
      <c r="AZ30" s="8"/>
      <c r="BA30" s="8" t="s">
        <v>37</v>
      </c>
      <c r="BB30" s="8"/>
      <c r="BC30" s="8"/>
      <c r="BD30" s="8"/>
      <c r="BE30" s="8"/>
      <c r="BF30" s="8"/>
      <c r="BG30" s="8"/>
      <c r="BH30" s="8"/>
      <c r="BI30" s="8"/>
      <c r="BJ30" s="8"/>
      <c r="BK30" s="59"/>
      <c r="BL30" s="59"/>
      <c r="BM30" s="59"/>
      <c r="BN30" s="164">
        <v>0.01</v>
      </c>
      <c r="BO30" s="165">
        <f t="shared" si="37"/>
        <v>3907.9806666666664</v>
      </c>
      <c r="BP30" s="165">
        <f t="shared" ref="BP30:BQ30" si="123">BO30</f>
        <v>3907.9806666666664</v>
      </c>
      <c r="BQ30" s="165">
        <f t="shared" si="123"/>
        <v>3907.9806666666664</v>
      </c>
      <c r="BR30" s="59"/>
      <c r="BS30" s="59"/>
      <c r="BT30" s="59"/>
      <c r="BU30" s="59"/>
      <c r="BV30" s="59" t="str">
        <f t="shared" si="83"/>
        <v>ND</v>
      </c>
      <c r="BW30" s="59" t="str">
        <f t="shared" si="84"/>
        <v>ND</v>
      </c>
      <c r="BX30" s="59" t="str">
        <f t="shared" si="85"/>
        <v>ND</v>
      </c>
      <c r="BY30" s="59" t="str">
        <f t="shared" si="86"/>
        <v>ND</v>
      </c>
      <c r="BZ30" s="59" t="str">
        <f t="shared" si="3"/>
        <v>NA</v>
      </c>
      <c r="CA30" s="59" t="str">
        <f t="shared" si="4"/>
        <v/>
      </c>
      <c r="CB30" s="59" t="str">
        <f t="shared" si="5"/>
        <v>NA</v>
      </c>
      <c r="CC30" s="59" t="str">
        <f t="shared" si="6"/>
        <v/>
      </c>
      <c r="CD30" s="59" t="str">
        <f t="shared" si="7"/>
        <v>NA</v>
      </c>
      <c r="CE30" s="59" t="str">
        <f t="shared" si="8"/>
        <v/>
      </c>
      <c r="CF30" s="59" t="str">
        <f t="shared" si="9"/>
        <v>NA</v>
      </c>
      <c r="CG30" s="59" t="str">
        <f t="shared" ca="1" si="10"/>
        <v>NA</v>
      </c>
      <c r="CH30" s="59" t="str">
        <f t="shared" ca="1" si="11"/>
        <v>NA</v>
      </c>
      <c r="CI30" s="59" t="str">
        <f t="shared" ca="1" si="12"/>
        <v>MAYOR A 45 DIAS</v>
      </c>
      <c r="CJ30" s="59" t="str">
        <f t="shared" ca="1" si="13"/>
        <v>MAYOR A 45 DIAS</v>
      </c>
      <c r="CK30" s="59" t="str">
        <f t="shared" ca="1" si="14"/>
        <v>MAYOR A 45 DIAS</v>
      </c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>
        <f t="shared" si="43"/>
        <v>0</v>
      </c>
      <c r="DH30" s="8">
        <f t="shared" si="79"/>
        <v>0</v>
      </c>
      <c r="DI30" s="8">
        <f t="shared" si="44"/>
        <v>0</v>
      </c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59" t="str">
        <f t="shared" si="45"/>
        <v>NA</v>
      </c>
      <c r="DU30" s="59" t="str">
        <f t="shared" si="46"/>
        <v>NA</v>
      </c>
      <c r="DV30" s="59" t="str">
        <f t="shared" si="47"/>
        <v>NA</v>
      </c>
      <c r="DW30" s="59" t="str">
        <f t="shared" si="48"/>
        <v>NA</v>
      </c>
      <c r="DX30" s="59" t="str">
        <f t="shared" si="49"/>
        <v>NA</v>
      </c>
      <c r="DY30" s="59" t="str">
        <f t="shared" si="50"/>
        <v>NA</v>
      </c>
      <c r="DZ30" s="59" t="str">
        <f t="shared" si="51"/>
        <v>NA</v>
      </c>
      <c r="EA30" s="59" t="str">
        <f t="shared" si="52"/>
        <v>NA</v>
      </c>
      <c r="EB30" s="59" t="str">
        <f t="shared" si="53"/>
        <v>NA</v>
      </c>
      <c r="EC30" s="59" t="str">
        <f t="shared" si="54"/>
        <v>NA</v>
      </c>
      <c r="ED30" s="59" t="str">
        <f t="shared" si="55"/>
        <v/>
      </c>
      <c r="EE30" s="59" t="str">
        <f t="shared" si="56"/>
        <v/>
      </c>
      <c r="EF30" s="59" t="str">
        <f t="shared" si="57"/>
        <v/>
      </c>
      <c r="EG30" s="59" t="str">
        <f t="shared" si="58"/>
        <v/>
      </c>
      <c r="EH30" s="59" t="str">
        <f t="shared" si="59"/>
        <v/>
      </c>
      <c r="EI30" s="59" t="str">
        <f t="shared" si="60"/>
        <v/>
      </c>
      <c r="EJ30" s="59" t="str">
        <f t="shared" si="61"/>
        <v/>
      </c>
      <c r="EK30" s="59" t="str">
        <f t="shared" si="62"/>
        <v/>
      </c>
      <c r="EL30" s="59" t="str">
        <f t="shared" si="63"/>
        <v/>
      </c>
      <c r="EM30" s="59" t="str">
        <f t="shared" si="64"/>
        <v/>
      </c>
      <c r="EN30" s="59" t="str">
        <f t="shared" si="65"/>
        <v/>
      </c>
      <c r="EO30" s="59" t="str">
        <f t="shared" si="66"/>
        <v/>
      </c>
      <c r="EP30" s="59" t="str">
        <f t="shared" si="67"/>
        <v/>
      </c>
      <c r="EQ30" s="59" t="str">
        <f t="shared" si="68"/>
        <v/>
      </c>
      <c r="ER30" s="59" t="str">
        <f t="shared" si="69"/>
        <v/>
      </c>
      <c r="ES30" s="59" t="str">
        <f t="shared" si="70"/>
        <v/>
      </c>
      <c r="ET30" s="59" t="str">
        <f t="shared" si="71"/>
        <v/>
      </c>
      <c r="EU30" s="59" t="str">
        <f t="shared" si="72"/>
        <v/>
      </c>
      <c r="EV30" s="59" t="str">
        <f t="shared" si="73"/>
        <v/>
      </c>
      <c r="EW30" s="59" t="str">
        <f t="shared" si="74"/>
        <v/>
      </c>
      <c r="EX30" s="56">
        <f t="shared" si="26"/>
        <v>1172394.2</v>
      </c>
    </row>
    <row r="31" spans="1:154" x14ac:dyDescent="0.25">
      <c r="A31" s="2">
        <f t="shared" si="75"/>
        <v>30</v>
      </c>
      <c r="B31" s="2" t="s">
        <v>6</v>
      </c>
      <c r="C31" s="2" t="str">
        <f t="shared" si="27"/>
        <v>020311</v>
      </c>
      <c r="D31" s="2">
        <v>2</v>
      </c>
      <c r="E31" s="2">
        <v>3</v>
      </c>
      <c r="F31" s="2">
        <v>11</v>
      </c>
      <c r="G31" s="11" t="s">
        <v>10</v>
      </c>
      <c r="H31" s="4"/>
      <c r="I31" s="42" t="s">
        <v>58</v>
      </c>
      <c r="J31" s="9">
        <v>80</v>
      </c>
      <c r="K31" s="5"/>
      <c r="L31" s="6" t="s">
        <v>306</v>
      </c>
      <c r="M31" s="24" t="s">
        <v>178</v>
      </c>
      <c r="N31" s="7">
        <f t="shared" si="76"/>
        <v>1126000</v>
      </c>
      <c r="O31" s="8">
        <v>69</v>
      </c>
      <c r="P31" s="25">
        <v>41243</v>
      </c>
      <c r="Q31" s="8" t="str">
        <f t="shared" si="28"/>
        <v>2DA-NOV</v>
      </c>
      <c r="R31" s="26">
        <v>0</v>
      </c>
      <c r="S31" s="41" t="s">
        <v>34</v>
      </c>
      <c r="T31" s="8" t="s">
        <v>353</v>
      </c>
      <c r="U31" s="8"/>
      <c r="V31" s="7">
        <v>563000</v>
      </c>
      <c r="W31" s="7">
        <f t="shared" si="119"/>
        <v>112600</v>
      </c>
      <c r="X31" s="7">
        <f t="shared" si="29"/>
        <v>450400</v>
      </c>
      <c r="Y31" s="7">
        <v>0</v>
      </c>
      <c r="Z31" s="7">
        <f t="shared" si="30"/>
        <v>112600</v>
      </c>
      <c r="AA31" s="148" t="str">
        <f t="shared" si="31"/>
        <v>20%</v>
      </c>
      <c r="AB31" s="148">
        <f t="shared" si="32"/>
        <v>0.8</v>
      </c>
      <c r="AC31" s="25">
        <v>41070</v>
      </c>
      <c r="AD31" s="25">
        <v>41070</v>
      </c>
      <c r="AE31" s="25">
        <v>41070</v>
      </c>
      <c r="AF31" s="8"/>
      <c r="AG31" s="59" t="str">
        <f t="shared" ca="1" si="34"/>
        <v>NA</v>
      </c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59" t="str">
        <f t="shared" si="90"/>
        <v>NA</v>
      </c>
      <c r="AS31" s="59" t="str">
        <f t="shared" si="91"/>
        <v/>
      </c>
      <c r="AT31" s="59"/>
      <c r="AU31" s="59" t="str">
        <f t="shared" si="1"/>
        <v>ND</v>
      </c>
      <c r="AV31" s="66"/>
      <c r="AW31" s="66"/>
      <c r="AX31" s="66"/>
      <c r="AY31" s="66"/>
      <c r="AZ31" s="8"/>
      <c r="BA31" s="8" t="s">
        <v>37</v>
      </c>
      <c r="BB31" s="8"/>
      <c r="BC31" s="8"/>
      <c r="BD31" s="8"/>
      <c r="BE31" s="8"/>
      <c r="BF31" s="8"/>
      <c r="BG31" s="8"/>
      <c r="BH31" s="8"/>
      <c r="BI31" s="8"/>
      <c r="BJ31" s="8"/>
      <c r="BK31" s="59"/>
      <c r="BL31" s="59"/>
      <c r="BM31" s="59"/>
      <c r="BN31" s="164">
        <v>0.01</v>
      </c>
      <c r="BO31" s="165">
        <f t="shared" si="37"/>
        <v>3753.3333333333335</v>
      </c>
      <c r="BP31" s="165">
        <f t="shared" ref="BP31:BQ31" si="124">BO31</f>
        <v>3753.3333333333335</v>
      </c>
      <c r="BQ31" s="165">
        <f t="shared" si="124"/>
        <v>3753.3333333333335</v>
      </c>
      <c r="BR31" s="59"/>
      <c r="BS31" s="59"/>
      <c r="BT31" s="59"/>
      <c r="BU31" s="59"/>
      <c r="BV31" s="59" t="str">
        <f t="shared" si="83"/>
        <v>ND</v>
      </c>
      <c r="BW31" s="59" t="str">
        <f t="shared" si="84"/>
        <v>ND</v>
      </c>
      <c r="BX31" s="59" t="str">
        <f t="shared" si="85"/>
        <v>ND</v>
      </c>
      <c r="BY31" s="59" t="str">
        <f t="shared" si="86"/>
        <v>ND</v>
      </c>
      <c r="BZ31" s="59" t="str">
        <f t="shared" si="3"/>
        <v>NA</v>
      </c>
      <c r="CA31" s="59" t="str">
        <f t="shared" si="4"/>
        <v/>
      </c>
      <c r="CB31" s="59" t="str">
        <f t="shared" si="5"/>
        <v>NA</v>
      </c>
      <c r="CC31" s="59" t="str">
        <f t="shared" si="6"/>
        <v/>
      </c>
      <c r="CD31" s="59" t="str">
        <f t="shared" si="7"/>
        <v>NA</v>
      </c>
      <c r="CE31" s="59" t="str">
        <f t="shared" si="8"/>
        <v/>
      </c>
      <c r="CF31" s="59" t="str">
        <f t="shared" si="9"/>
        <v>NA</v>
      </c>
      <c r="CG31" s="59" t="str">
        <f t="shared" ca="1" si="10"/>
        <v>NA</v>
      </c>
      <c r="CH31" s="59" t="str">
        <f t="shared" ca="1" si="11"/>
        <v>NA</v>
      </c>
      <c r="CI31" s="59" t="str">
        <f t="shared" ca="1" si="12"/>
        <v>MAYOR A 45 DIAS</v>
      </c>
      <c r="CJ31" s="59" t="str">
        <f t="shared" ca="1" si="13"/>
        <v>MAYOR A 45 DIAS</v>
      </c>
      <c r="CK31" s="59" t="str">
        <f t="shared" ca="1" si="14"/>
        <v>MAYOR A 45 DIAS</v>
      </c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>
        <f t="shared" si="43"/>
        <v>0</v>
      </c>
      <c r="DH31" s="8">
        <f t="shared" si="79"/>
        <v>0</v>
      </c>
      <c r="DI31" s="8">
        <f t="shared" si="44"/>
        <v>0</v>
      </c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59" t="str">
        <f t="shared" si="45"/>
        <v>NA</v>
      </c>
      <c r="DU31" s="59" t="str">
        <f t="shared" si="46"/>
        <v>NA</v>
      </c>
      <c r="DV31" s="59" t="str">
        <f t="shared" si="47"/>
        <v>NA</v>
      </c>
      <c r="DW31" s="59" t="str">
        <f t="shared" si="48"/>
        <v>NA</v>
      </c>
      <c r="DX31" s="59" t="str">
        <f t="shared" si="49"/>
        <v>NA</v>
      </c>
      <c r="DY31" s="59" t="str">
        <f t="shared" si="50"/>
        <v>NA</v>
      </c>
      <c r="DZ31" s="59" t="str">
        <f t="shared" si="51"/>
        <v>NA</v>
      </c>
      <c r="EA31" s="59" t="str">
        <f t="shared" si="52"/>
        <v>NA</v>
      </c>
      <c r="EB31" s="59" t="str">
        <f t="shared" si="53"/>
        <v>NA</v>
      </c>
      <c r="EC31" s="59" t="str">
        <f t="shared" si="54"/>
        <v>NA</v>
      </c>
      <c r="ED31" s="59" t="str">
        <f t="shared" si="55"/>
        <v/>
      </c>
      <c r="EE31" s="59" t="str">
        <f t="shared" si="56"/>
        <v/>
      </c>
      <c r="EF31" s="59" t="str">
        <f t="shared" si="57"/>
        <v/>
      </c>
      <c r="EG31" s="59" t="str">
        <f t="shared" si="58"/>
        <v/>
      </c>
      <c r="EH31" s="59" t="str">
        <f t="shared" si="59"/>
        <v/>
      </c>
      <c r="EI31" s="59" t="str">
        <f t="shared" si="60"/>
        <v/>
      </c>
      <c r="EJ31" s="59" t="str">
        <f t="shared" si="61"/>
        <v/>
      </c>
      <c r="EK31" s="59" t="str">
        <f t="shared" si="62"/>
        <v/>
      </c>
      <c r="EL31" s="59" t="str">
        <f t="shared" si="63"/>
        <v/>
      </c>
      <c r="EM31" s="59" t="str">
        <f t="shared" si="64"/>
        <v/>
      </c>
      <c r="EN31" s="59" t="str">
        <f t="shared" si="65"/>
        <v/>
      </c>
      <c r="EO31" s="59" t="str">
        <f t="shared" si="66"/>
        <v/>
      </c>
      <c r="EP31" s="59" t="str">
        <f t="shared" si="67"/>
        <v/>
      </c>
      <c r="EQ31" s="59" t="str">
        <f t="shared" si="68"/>
        <v/>
      </c>
      <c r="ER31" s="59" t="str">
        <f t="shared" si="69"/>
        <v/>
      </c>
      <c r="ES31" s="59" t="str">
        <f t="shared" si="70"/>
        <v/>
      </c>
      <c r="ET31" s="59" t="str">
        <f t="shared" si="71"/>
        <v/>
      </c>
      <c r="EU31" s="59" t="str">
        <f t="shared" si="72"/>
        <v/>
      </c>
      <c r="EV31" s="59" t="str">
        <f t="shared" si="73"/>
        <v/>
      </c>
      <c r="EW31" s="59" t="str">
        <f t="shared" si="74"/>
        <v/>
      </c>
      <c r="EX31" s="56">
        <f t="shared" si="26"/>
        <v>1126000</v>
      </c>
    </row>
    <row r="32" spans="1:154" x14ac:dyDescent="0.25">
      <c r="A32" s="2">
        <f t="shared" si="75"/>
        <v>31</v>
      </c>
      <c r="B32" s="2" t="s">
        <v>6</v>
      </c>
      <c r="C32" s="2" t="str">
        <f t="shared" si="27"/>
        <v>020312</v>
      </c>
      <c r="D32" s="2">
        <v>2</v>
      </c>
      <c r="E32" s="2">
        <v>3</v>
      </c>
      <c r="F32" s="2">
        <v>12</v>
      </c>
      <c r="G32" s="11" t="s">
        <v>10</v>
      </c>
      <c r="H32" s="4"/>
      <c r="I32" s="42" t="s">
        <v>58</v>
      </c>
      <c r="J32" s="9">
        <v>80</v>
      </c>
      <c r="K32" s="9"/>
      <c r="L32" s="10" t="s">
        <v>8</v>
      </c>
      <c r="M32" s="24" t="s">
        <v>178</v>
      </c>
      <c r="N32" s="7">
        <f t="shared" si="76"/>
        <v>1135000</v>
      </c>
      <c r="O32" s="8">
        <v>70</v>
      </c>
      <c r="P32" s="25">
        <v>41243</v>
      </c>
      <c r="Q32" s="8" t="str">
        <f t="shared" si="28"/>
        <v>2DA-NOV</v>
      </c>
      <c r="R32" s="26">
        <v>0</v>
      </c>
      <c r="S32" s="41" t="s">
        <v>34</v>
      </c>
      <c r="T32" s="8" t="s">
        <v>353</v>
      </c>
      <c r="U32" s="8"/>
      <c r="V32" s="7">
        <v>567500</v>
      </c>
      <c r="W32" s="7">
        <f t="shared" si="119"/>
        <v>113500</v>
      </c>
      <c r="X32" s="7">
        <f t="shared" si="29"/>
        <v>454000</v>
      </c>
      <c r="Y32" s="7">
        <v>0</v>
      </c>
      <c r="Z32" s="7">
        <f t="shared" si="30"/>
        <v>113500</v>
      </c>
      <c r="AA32" s="148" t="str">
        <f t="shared" si="31"/>
        <v>20%</v>
      </c>
      <c r="AB32" s="148">
        <f t="shared" si="32"/>
        <v>0.8</v>
      </c>
      <c r="AC32" s="25">
        <v>41069</v>
      </c>
      <c r="AD32" s="25">
        <v>41069</v>
      </c>
      <c r="AE32" s="25">
        <v>41069</v>
      </c>
      <c r="AF32" s="8"/>
      <c r="AG32" s="59" t="str">
        <f t="shared" ca="1" si="34"/>
        <v>NA</v>
      </c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59" t="str">
        <f t="shared" si="90"/>
        <v>NA</v>
      </c>
      <c r="AS32" s="59" t="str">
        <f t="shared" si="91"/>
        <v/>
      </c>
      <c r="AT32" s="59"/>
      <c r="AU32" s="59" t="str">
        <f t="shared" si="1"/>
        <v>ND</v>
      </c>
      <c r="AV32" s="66"/>
      <c r="AW32" s="66"/>
      <c r="AX32" s="66"/>
      <c r="AY32" s="66"/>
      <c r="AZ32" s="8"/>
      <c r="BA32" s="8" t="s">
        <v>37</v>
      </c>
      <c r="BB32" s="8"/>
      <c r="BC32" s="8"/>
      <c r="BD32" s="8"/>
      <c r="BE32" s="8"/>
      <c r="BF32" s="8"/>
      <c r="BG32" s="8"/>
      <c r="BH32" s="8"/>
      <c r="BI32" s="8"/>
      <c r="BJ32" s="8"/>
      <c r="BK32" s="59"/>
      <c r="BL32" s="59"/>
      <c r="BM32" s="59"/>
      <c r="BN32" s="164">
        <v>0.01</v>
      </c>
      <c r="BO32" s="165">
        <f t="shared" si="37"/>
        <v>3783.3333333333335</v>
      </c>
      <c r="BP32" s="165">
        <f t="shared" ref="BP32:BQ32" si="125">BO32</f>
        <v>3783.3333333333335</v>
      </c>
      <c r="BQ32" s="165">
        <f t="shared" si="125"/>
        <v>3783.3333333333335</v>
      </c>
      <c r="BR32" s="59"/>
      <c r="BS32" s="59"/>
      <c r="BT32" s="59"/>
      <c r="BU32" s="59"/>
      <c r="BV32" s="59" t="str">
        <f t="shared" si="83"/>
        <v>ND</v>
      </c>
      <c r="BW32" s="59" t="str">
        <f t="shared" si="84"/>
        <v>ND</v>
      </c>
      <c r="BX32" s="59" t="str">
        <f t="shared" si="85"/>
        <v>ND</v>
      </c>
      <c r="BY32" s="59" t="str">
        <f t="shared" si="86"/>
        <v>ND</v>
      </c>
      <c r="BZ32" s="59" t="str">
        <f t="shared" si="3"/>
        <v>NA</v>
      </c>
      <c r="CA32" s="59" t="str">
        <f t="shared" si="4"/>
        <v/>
      </c>
      <c r="CB32" s="59" t="str">
        <f t="shared" si="5"/>
        <v>NA</v>
      </c>
      <c r="CC32" s="59" t="str">
        <f t="shared" si="6"/>
        <v/>
      </c>
      <c r="CD32" s="59" t="str">
        <f t="shared" si="7"/>
        <v>NA</v>
      </c>
      <c r="CE32" s="59" t="str">
        <f t="shared" si="8"/>
        <v/>
      </c>
      <c r="CF32" s="59" t="str">
        <f t="shared" si="9"/>
        <v>NA</v>
      </c>
      <c r="CG32" s="59" t="str">
        <f t="shared" ca="1" si="10"/>
        <v>NA</v>
      </c>
      <c r="CH32" s="59" t="str">
        <f t="shared" ca="1" si="11"/>
        <v>NA</v>
      </c>
      <c r="CI32" s="59" t="str">
        <f t="shared" ca="1" si="12"/>
        <v>MAYOR A 45 DIAS</v>
      </c>
      <c r="CJ32" s="59" t="str">
        <f t="shared" ca="1" si="13"/>
        <v>MAYOR A 45 DIAS</v>
      </c>
      <c r="CK32" s="59" t="str">
        <f t="shared" ca="1" si="14"/>
        <v>MAYOR A 45 DIAS</v>
      </c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>
        <f t="shared" si="43"/>
        <v>0</v>
      </c>
      <c r="DH32" s="8">
        <f t="shared" si="79"/>
        <v>0</v>
      </c>
      <c r="DI32" s="8">
        <f t="shared" si="44"/>
        <v>0</v>
      </c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59" t="str">
        <f t="shared" si="45"/>
        <v>NA</v>
      </c>
      <c r="DU32" s="59" t="str">
        <f t="shared" si="46"/>
        <v>NA</v>
      </c>
      <c r="DV32" s="59" t="str">
        <f t="shared" si="47"/>
        <v>NA</v>
      </c>
      <c r="DW32" s="59" t="str">
        <f t="shared" si="48"/>
        <v>NA</v>
      </c>
      <c r="DX32" s="59" t="str">
        <f t="shared" si="49"/>
        <v>NA</v>
      </c>
      <c r="DY32" s="59" t="str">
        <f t="shared" si="50"/>
        <v>NA</v>
      </c>
      <c r="DZ32" s="59" t="str">
        <f t="shared" si="51"/>
        <v>NA</v>
      </c>
      <c r="EA32" s="59" t="str">
        <f t="shared" si="52"/>
        <v>NA</v>
      </c>
      <c r="EB32" s="59" t="str">
        <f t="shared" si="53"/>
        <v>NA</v>
      </c>
      <c r="EC32" s="59" t="str">
        <f t="shared" si="54"/>
        <v>NA</v>
      </c>
      <c r="ED32" s="59" t="str">
        <f t="shared" si="55"/>
        <v/>
      </c>
      <c r="EE32" s="59" t="str">
        <f t="shared" si="56"/>
        <v/>
      </c>
      <c r="EF32" s="59" t="str">
        <f t="shared" si="57"/>
        <v/>
      </c>
      <c r="EG32" s="59" t="str">
        <f t="shared" si="58"/>
        <v/>
      </c>
      <c r="EH32" s="59" t="str">
        <f t="shared" si="59"/>
        <v/>
      </c>
      <c r="EI32" s="59" t="str">
        <f t="shared" si="60"/>
        <v/>
      </c>
      <c r="EJ32" s="59" t="str">
        <f t="shared" si="61"/>
        <v/>
      </c>
      <c r="EK32" s="59" t="str">
        <f t="shared" si="62"/>
        <v/>
      </c>
      <c r="EL32" s="59" t="str">
        <f t="shared" si="63"/>
        <v/>
      </c>
      <c r="EM32" s="59" t="str">
        <f t="shared" si="64"/>
        <v/>
      </c>
      <c r="EN32" s="59" t="str">
        <f t="shared" si="65"/>
        <v/>
      </c>
      <c r="EO32" s="59" t="str">
        <f t="shared" si="66"/>
        <v/>
      </c>
      <c r="EP32" s="59" t="str">
        <f t="shared" si="67"/>
        <v/>
      </c>
      <c r="EQ32" s="59" t="str">
        <f t="shared" si="68"/>
        <v/>
      </c>
      <c r="ER32" s="59" t="str">
        <f t="shared" si="69"/>
        <v/>
      </c>
      <c r="ES32" s="59" t="str">
        <f t="shared" si="70"/>
        <v/>
      </c>
      <c r="ET32" s="59" t="str">
        <f t="shared" si="71"/>
        <v/>
      </c>
      <c r="EU32" s="59" t="str">
        <f t="shared" si="72"/>
        <v/>
      </c>
      <c r="EV32" s="59" t="str">
        <f t="shared" si="73"/>
        <v/>
      </c>
      <c r="EW32" s="59" t="str">
        <f t="shared" si="74"/>
        <v/>
      </c>
      <c r="EX32" s="56">
        <f t="shared" si="26"/>
        <v>1135000</v>
      </c>
    </row>
    <row r="33" spans="1:154" x14ac:dyDescent="0.25">
      <c r="A33" s="2">
        <f t="shared" si="75"/>
        <v>32</v>
      </c>
      <c r="B33" s="2" t="s">
        <v>6</v>
      </c>
      <c r="C33" s="2" t="str">
        <f t="shared" si="27"/>
        <v>020313</v>
      </c>
      <c r="D33" s="2">
        <v>2</v>
      </c>
      <c r="E33" s="2">
        <v>3</v>
      </c>
      <c r="F33" s="2">
        <v>13</v>
      </c>
      <c r="G33" s="11" t="s">
        <v>10</v>
      </c>
      <c r="H33" s="4"/>
      <c r="I33" s="42" t="s">
        <v>58</v>
      </c>
      <c r="J33" s="9">
        <v>80</v>
      </c>
      <c r="K33" s="5"/>
      <c r="L33" s="6" t="s">
        <v>306</v>
      </c>
      <c r="M33" s="24" t="s">
        <v>178</v>
      </c>
      <c r="N33" s="7">
        <f t="shared" si="76"/>
        <v>1126000</v>
      </c>
      <c r="O33" s="8">
        <v>71</v>
      </c>
      <c r="P33" s="25">
        <v>41243</v>
      </c>
      <c r="Q33" s="8" t="str">
        <f t="shared" si="28"/>
        <v>2DA-NOV</v>
      </c>
      <c r="R33" s="26">
        <v>0</v>
      </c>
      <c r="S33" s="41" t="s">
        <v>34</v>
      </c>
      <c r="T33" s="8" t="s">
        <v>353</v>
      </c>
      <c r="U33" s="8"/>
      <c r="V33" s="7">
        <v>563000</v>
      </c>
      <c r="W33" s="7">
        <f t="shared" si="119"/>
        <v>112600</v>
      </c>
      <c r="X33" s="7">
        <f t="shared" si="29"/>
        <v>450400</v>
      </c>
      <c r="Y33" s="7">
        <v>0</v>
      </c>
      <c r="Z33" s="7">
        <f t="shared" si="30"/>
        <v>112600</v>
      </c>
      <c r="AA33" s="148" t="str">
        <f t="shared" si="31"/>
        <v>20%</v>
      </c>
      <c r="AB33" s="148">
        <f t="shared" si="32"/>
        <v>0.8</v>
      </c>
      <c r="AC33" s="25">
        <v>41049</v>
      </c>
      <c r="AD33" s="25">
        <v>41049</v>
      </c>
      <c r="AE33" s="25">
        <v>41049</v>
      </c>
      <c r="AF33" s="8"/>
      <c r="AG33" s="59" t="str">
        <f t="shared" ca="1" si="34"/>
        <v>NA</v>
      </c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59" t="str">
        <f t="shared" si="90"/>
        <v>NA</v>
      </c>
      <c r="AS33" s="59" t="str">
        <f t="shared" si="91"/>
        <v/>
      </c>
      <c r="AT33" s="59"/>
      <c r="AU33" s="59" t="str">
        <f t="shared" si="1"/>
        <v>ND</v>
      </c>
      <c r="AV33" s="66"/>
      <c r="AW33" s="66"/>
      <c r="AX33" s="66"/>
      <c r="AY33" s="66"/>
      <c r="AZ33" s="8"/>
      <c r="BA33" s="8" t="s">
        <v>37</v>
      </c>
      <c r="BB33" s="8"/>
      <c r="BC33" s="8"/>
      <c r="BD33" s="8"/>
      <c r="BE33" s="8"/>
      <c r="BF33" s="8"/>
      <c r="BG33" s="8"/>
      <c r="BH33" s="8"/>
      <c r="BI33" s="8"/>
      <c r="BJ33" s="8"/>
      <c r="BK33" s="59"/>
      <c r="BL33" s="59"/>
      <c r="BM33" s="59"/>
      <c r="BN33" s="164">
        <v>0.01</v>
      </c>
      <c r="BO33" s="165">
        <f t="shared" si="37"/>
        <v>3753.3333333333335</v>
      </c>
      <c r="BP33" s="165">
        <f t="shared" ref="BP33:BQ33" si="126">BO33</f>
        <v>3753.3333333333335</v>
      </c>
      <c r="BQ33" s="165">
        <f t="shared" si="126"/>
        <v>3753.3333333333335</v>
      </c>
      <c r="BR33" s="59"/>
      <c r="BS33" s="59"/>
      <c r="BT33" s="59"/>
      <c r="BU33" s="59"/>
      <c r="BV33" s="59" t="str">
        <f t="shared" si="83"/>
        <v>ND</v>
      </c>
      <c r="BW33" s="59" t="str">
        <f t="shared" si="84"/>
        <v>ND</v>
      </c>
      <c r="BX33" s="59" t="str">
        <f t="shared" si="85"/>
        <v>ND</v>
      </c>
      <c r="BY33" s="59" t="str">
        <f t="shared" si="86"/>
        <v>ND</v>
      </c>
      <c r="BZ33" s="59" t="str">
        <f t="shared" si="3"/>
        <v>NA</v>
      </c>
      <c r="CA33" s="59" t="str">
        <f t="shared" si="4"/>
        <v/>
      </c>
      <c r="CB33" s="59" t="str">
        <f t="shared" si="5"/>
        <v>NA</v>
      </c>
      <c r="CC33" s="59" t="str">
        <f t="shared" si="6"/>
        <v/>
      </c>
      <c r="CD33" s="59" t="str">
        <f t="shared" si="7"/>
        <v>NA</v>
      </c>
      <c r="CE33" s="59" t="str">
        <f t="shared" si="8"/>
        <v/>
      </c>
      <c r="CF33" s="59" t="str">
        <f t="shared" si="9"/>
        <v>NA</v>
      </c>
      <c r="CG33" s="59" t="str">
        <f t="shared" ca="1" si="10"/>
        <v>NA</v>
      </c>
      <c r="CH33" s="59" t="str">
        <f t="shared" ca="1" si="11"/>
        <v>NA</v>
      </c>
      <c r="CI33" s="59" t="str">
        <f t="shared" ca="1" si="12"/>
        <v>MAYOR A 45 DIAS</v>
      </c>
      <c r="CJ33" s="59" t="str">
        <f t="shared" ca="1" si="13"/>
        <v>MAYOR A 45 DIAS</v>
      </c>
      <c r="CK33" s="59" t="str">
        <f t="shared" ca="1" si="14"/>
        <v>MAYOR A 45 DIAS</v>
      </c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>
        <f t="shared" si="43"/>
        <v>0</v>
      </c>
      <c r="DH33" s="8">
        <f t="shared" si="79"/>
        <v>0</v>
      </c>
      <c r="DI33" s="8">
        <f t="shared" si="44"/>
        <v>0</v>
      </c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59" t="str">
        <f t="shared" si="45"/>
        <v>NA</v>
      </c>
      <c r="DU33" s="59" t="str">
        <f t="shared" si="46"/>
        <v>NA</v>
      </c>
      <c r="DV33" s="59" t="str">
        <f t="shared" si="47"/>
        <v>NA</v>
      </c>
      <c r="DW33" s="59" t="str">
        <f t="shared" si="48"/>
        <v>NA</v>
      </c>
      <c r="DX33" s="59" t="str">
        <f t="shared" si="49"/>
        <v>NA</v>
      </c>
      <c r="DY33" s="59" t="str">
        <f t="shared" si="50"/>
        <v>NA</v>
      </c>
      <c r="DZ33" s="59" t="str">
        <f t="shared" si="51"/>
        <v>NA</v>
      </c>
      <c r="EA33" s="59" t="str">
        <f t="shared" si="52"/>
        <v>NA</v>
      </c>
      <c r="EB33" s="59" t="str">
        <f t="shared" si="53"/>
        <v>NA</v>
      </c>
      <c r="EC33" s="59" t="str">
        <f t="shared" si="54"/>
        <v>NA</v>
      </c>
      <c r="ED33" s="59" t="str">
        <f t="shared" si="55"/>
        <v/>
      </c>
      <c r="EE33" s="59" t="str">
        <f t="shared" si="56"/>
        <v/>
      </c>
      <c r="EF33" s="59" t="str">
        <f t="shared" si="57"/>
        <v/>
      </c>
      <c r="EG33" s="59" t="str">
        <f t="shared" si="58"/>
        <v/>
      </c>
      <c r="EH33" s="59" t="str">
        <f t="shared" si="59"/>
        <v/>
      </c>
      <c r="EI33" s="59" t="str">
        <f t="shared" si="60"/>
        <v/>
      </c>
      <c r="EJ33" s="59" t="str">
        <f t="shared" si="61"/>
        <v/>
      </c>
      <c r="EK33" s="59" t="str">
        <f t="shared" si="62"/>
        <v/>
      </c>
      <c r="EL33" s="59" t="str">
        <f t="shared" si="63"/>
        <v/>
      </c>
      <c r="EM33" s="59" t="str">
        <f t="shared" si="64"/>
        <v/>
      </c>
      <c r="EN33" s="59" t="str">
        <f t="shared" si="65"/>
        <v/>
      </c>
      <c r="EO33" s="59" t="str">
        <f t="shared" si="66"/>
        <v/>
      </c>
      <c r="EP33" s="59" t="str">
        <f t="shared" si="67"/>
        <v/>
      </c>
      <c r="EQ33" s="59" t="str">
        <f t="shared" si="68"/>
        <v/>
      </c>
      <c r="ER33" s="59" t="str">
        <f t="shared" si="69"/>
        <v/>
      </c>
      <c r="ES33" s="59" t="str">
        <f t="shared" si="70"/>
        <v/>
      </c>
      <c r="ET33" s="59" t="str">
        <f t="shared" si="71"/>
        <v/>
      </c>
      <c r="EU33" s="59" t="str">
        <f t="shared" si="72"/>
        <v/>
      </c>
      <c r="EV33" s="59" t="str">
        <f t="shared" si="73"/>
        <v/>
      </c>
      <c r="EW33" s="59" t="str">
        <f t="shared" si="74"/>
        <v/>
      </c>
      <c r="EX33" s="56">
        <f t="shared" si="26"/>
        <v>1126000</v>
      </c>
    </row>
    <row r="34" spans="1:154" x14ac:dyDescent="0.25">
      <c r="A34" s="2">
        <f t="shared" si="75"/>
        <v>33</v>
      </c>
      <c r="B34" s="2" t="s">
        <v>6</v>
      </c>
      <c r="C34" s="2" t="str">
        <f t="shared" si="27"/>
        <v>020314</v>
      </c>
      <c r="D34" s="2">
        <v>2</v>
      </c>
      <c r="E34" s="2">
        <v>3</v>
      </c>
      <c r="F34" s="2">
        <v>14</v>
      </c>
      <c r="G34" s="11" t="s">
        <v>10</v>
      </c>
      <c r="H34" s="4"/>
      <c r="I34" s="42" t="s">
        <v>58</v>
      </c>
      <c r="J34" s="9">
        <v>80</v>
      </c>
      <c r="K34" s="5"/>
      <c r="L34" s="6" t="s">
        <v>306</v>
      </c>
      <c r="M34" s="24" t="s">
        <v>178</v>
      </c>
      <c r="N34" s="7">
        <f t="shared" si="76"/>
        <v>1126000</v>
      </c>
      <c r="O34" s="8">
        <v>72</v>
      </c>
      <c r="P34" s="25">
        <v>41243</v>
      </c>
      <c r="Q34" s="8" t="str">
        <f t="shared" si="28"/>
        <v>2DA-NOV</v>
      </c>
      <c r="R34" s="26">
        <v>0</v>
      </c>
      <c r="S34" s="41" t="s">
        <v>34</v>
      </c>
      <c r="T34" s="8" t="s">
        <v>353</v>
      </c>
      <c r="U34" s="8"/>
      <c r="V34" s="7">
        <v>563000</v>
      </c>
      <c r="W34" s="7">
        <f t="shared" si="119"/>
        <v>112600</v>
      </c>
      <c r="X34" s="7">
        <f t="shared" si="29"/>
        <v>450400</v>
      </c>
      <c r="Y34" s="7">
        <v>0</v>
      </c>
      <c r="Z34" s="7">
        <f t="shared" si="30"/>
        <v>112600</v>
      </c>
      <c r="AA34" s="148" t="str">
        <f t="shared" si="31"/>
        <v>20%</v>
      </c>
      <c r="AB34" s="148">
        <f t="shared" si="32"/>
        <v>0.8</v>
      </c>
      <c r="AC34" s="25">
        <v>40982</v>
      </c>
      <c r="AD34" s="25">
        <v>40982</v>
      </c>
      <c r="AE34" s="25">
        <v>40982</v>
      </c>
      <c r="AF34" s="8"/>
      <c r="AG34" s="59" t="str">
        <f t="shared" ca="1" si="34"/>
        <v>NA</v>
      </c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59" t="str">
        <f t="shared" si="90"/>
        <v>NA</v>
      </c>
      <c r="AS34" s="59" t="str">
        <f t="shared" si="91"/>
        <v/>
      </c>
      <c r="AT34" s="59"/>
      <c r="AU34" s="59" t="str">
        <f t="shared" si="1"/>
        <v>ND</v>
      </c>
      <c r="AV34" s="66"/>
      <c r="AW34" s="66"/>
      <c r="AX34" s="66"/>
      <c r="AY34" s="66"/>
      <c r="AZ34" s="8"/>
      <c r="BA34" s="8" t="s">
        <v>37</v>
      </c>
      <c r="BB34" s="8"/>
      <c r="BC34" s="8"/>
      <c r="BD34" s="8"/>
      <c r="BE34" s="8"/>
      <c r="BF34" s="8"/>
      <c r="BG34" s="8"/>
      <c r="BH34" s="8"/>
      <c r="BI34" s="8"/>
      <c r="BJ34" s="8"/>
      <c r="BK34" s="59"/>
      <c r="BL34" s="59"/>
      <c r="BM34" s="59"/>
      <c r="BN34" s="164">
        <v>0.01</v>
      </c>
      <c r="BO34" s="165">
        <f t="shared" si="37"/>
        <v>3753.3333333333335</v>
      </c>
      <c r="BP34" s="165">
        <f t="shared" ref="BP34:BQ34" si="127">BO34</f>
        <v>3753.3333333333335</v>
      </c>
      <c r="BQ34" s="165">
        <f t="shared" si="127"/>
        <v>3753.3333333333335</v>
      </c>
      <c r="BR34" s="59"/>
      <c r="BS34" s="59"/>
      <c r="BT34" s="59"/>
      <c r="BU34" s="59"/>
      <c r="BV34" s="59" t="str">
        <f t="shared" si="83"/>
        <v>ND</v>
      </c>
      <c r="BW34" s="59" t="str">
        <f t="shared" si="84"/>
        <v>ND</v>
      </c>
      <c r="BX34" s="59" t="str">
        <f t="shared" si="85"/>
        <v>ND</v>
      </c>
      <c r="BY34" s="59" t="str">
        <f t="shared" si="86"/>
        <v>ND</v>
      </c>
      <c r="BZ34" s="59" t="str">
        <f t="shared" si="3"/>
        <v>NA</v>
      </c>
      <c r="CA34" s="59" t="str">
        <f t="shared" si="4"/>
        <v/>
      </c>
      <c r="CB34" s="59" t="str">
        <f t="shared" si="5"/>
        <v>NA</v>
      </c>
      <c r="CC34" s="59" t="str">
        <f t="shared" si="6"/>
        <v/>
      </c>
      <c r="CD34" s="59" t="str">
        <f t="shared" si="7"/>
        <v>NA</v>
      </c>
      <c r="CE34" s="59" t="str">
        <f t="shared" si="8"/>
        <v/>
      </c>
      <c r="CF34" s="59" t="str">
        <f t="shared" si="9"/>
        <v>NA</v>
      </c>
      <c r="CG34" s="59" t="str">
        <f t="shared" ca="1" si="10"/>
        <v>NA</v>
      </c>
      <c r="CH34" s="59" t="str">
        <f t="shared" ca="1" si="11"/>
        <v>NA</v>
      </c>
      <c r="CI34" s="59" t="str">
        <f t="shared" ca="1" si="12"/>
        <v>MAYOR A 45 DIAS</v>
      </c>
      <c r="CJ34" s="59" t="str">
        <f t="shared" ca="1" si="13"/>
        <v>MAYOR A 45 DIAS</v>
      </c>
      <c r="CK34" s="59" t="str">
        <f t="shared" ca="1" si="14"/>
        <v>MAYOR A 45 DIAS</v>
      </c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>
        <f t="shared" si="43"/>
        <v>0</v>
      </c>
      <c r="DH34" s="8">
        <f t="shared" si="79"/>
        <v>0</v>
      </c>
      <c r="DI34" s="8">
        <f t="shared" si="44"/>
        <v>0</v>
      </c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59" t="str">
        <f t="shared" si="45"/>
        <v>NA</v>
      </c>
      <c r="DU34" s="59" t="str">
        <f t="shared" si="46"/>
        <v>NA</v>
      </c>
      <c r="DV34" s="59" t="str">
        <f t="shared" si="47"/>
        <v>NA</v>
      </c>
      <c r="DW34" s="59" t="str">
        <f t="shared" si="48"/>
        <v>NA</v>
      </c>
      <c r="DX34" s="59" t="str">
        <f t="shared" si="49"/>
        <v>NA</v>
      </c>
      <c r="DY34" s="59" t="str">
        <f t="shared" si="50"/>
        <v>NA</v>
      </c>
      <c r="DZ34" s="59" t="str">
        <f t="shared" si="51"/>
        <v>NA</v>
      </c>
      <c r="EA34" s="59" t="str">
        <f t="shared" si="52"/>
        <v>NA</v>
      </c>
      <c r="EB34" s="59" t="str">
        <f t="shared" si="53"/>
        <v>NA</v>
      </c>
      <c r="EC34" s="59" t="str">
        <f t="shared" si="54"/>
        <v>NA</v>
      </c>
      <c r="ED34" s="59" t="str">
        <f t="shared" si="55"/>
        <v/>
      </c>
      <c r="EE34" s="59" t="str">
        <f t="shared" si="56"/>
        <v/>
      </c>
      <c r="EF34" s="59" t="str">
        <f t="shared" si="57"/>
        <v/>
      </c>
      <c r="EG34" s="59" t="str">
        <f t="shared" si="58"/>
        <v/>
      </c>
      <c r="EH34" s="59" t="str">
        <f t="shared" si="59"/>
        <v/>
      </c>
      <c r="EI34" s="59" t="str">
        <f t="shared" si="60"/>
        <v/>
      </c>
      <c r="EJ34" s="59" t="str">
        <f t="shared" si="61"/>
        <v/>
      </c>
      <c r="EK34" s="59" t="str">
        <f t="shared" si="62"/>
        <v/>
      </c>
      <c r="EL34" s="59" t="str">
        <f t="shared" si="63"/>
        <v/>
      </c>
      <c r="EM34" s="59" t="str">
        <f t="shared" si="64"/>
        <v/>
      </c>
      <c r="EN34" s="59" t="str">
        <f t="shared" si="65"/>
        <v/>
      </c>
      <c r="EO34" s="59" t="str">
        <f t="shared" si="66"/>
        <v/>
      </c>
      <c r="EP34" s="59" t="str">
        <f t="shared" si="67"/>
        <v/>
      </c>
      <c r="EQ34" s="59" t="str">
        <f t="shared" si="68"/>
        <v/>
      </c>
      <c r="ER34" s="59" t="str">
        <f t="shared" si="69"/>
        <v/>
      </c>
      <c r="ES34" s="59" t="str">
        <f t="shared" si="70"/>
        <v/>
      </c>
      <c r="ET34" s="59" t="str">
        <f t="shared" si="71"/>
        <v/>
      </c>
      <c r="EU34" s="59" t="str">
        <f t="shared" si="72"/>
        <v/>
      </c>
      <c r="EV34" s="59" t="str">
        <f t="shared" si="73"/>
        <v/>
      </c>
      <c r="EW34" s="59" t="str">
        <f t="shared" si="74"/>
        <v/>
      </c>
      <c r="EX34" s="56">
        <f t="shared" si="26"/>
        <v>1126000</v>
      </c>
    </row>
    <row r="35" spans="1:154" x14ac:dyDescent="0.25">
      <c r="A35" s="2">
        <f t="shared" si="75"/>
        <v>34</v>
      </c>
      <c r="B35" s="2" t="s">
        <v>6</v>
      </c>
      <c r="C35" s="2" t="str">
        <f t="shared" si="27"/>
        <v>020315</v>
      </c>
      <c r="D35" s="2">
        <v>2</v>
      </c>
      <c r="E35" s="2">
        <v>3</v>
      </c>
      <c r="F35" s="2">
        <v>15</v>
      </c>
      <c r="G35" s="11" t="s">
        <v>10</v>
      </c>
      <c r="H35" s="4"/>
      <c r="I35" s="42" t="s">
        <v>58</v>
      </c>
      <c r="J35" s="9">
        <v>83.161000000000001</v>
      </c>
      <c r="K35" s="9"/>
      <c r="L35" s="10" t="s">
        <v>8</v>
      </c>
      <c r="M35" s="24" t="s">
        <v>178</v>
      </c>
      <c r="N35" s="7">
        <f t="shared" si="76"/>
        <v>1147011.8</v>
      </c>
      <c r="O35" s="8">
        <v>73</v>
      </c>
      <c r="P35" s="25">
        <v>41243</v>
      </c>
      <c r="Q35" s="8" t="str">
        <f t="shared" si="28"/>
        <v>2DA-NOV</v>
      </c>
      <c r="R35" s="26">
        <v>0</v>
      </c>
      <c r="S35" s="41" t="s">
        <v>34</v>
      </c>
      <c r="T35" s="8" t="s">
        <v>353</v>
      </c>
      <c r="U35" s="8"/>
      <c r="V35" s="7">
        <v>573505.9</v>
      </c>
      <c r="W35" s="7">
        <f t="shared" si="119"/>
        <v>114701.18000000001</v>
      </c>
      <c r="X35" s="7">
        <f t="shared" si="29"/>
        <v>458804.72000000003</v>
      </c>
      <c r="Y35" s="7">
        <v>0</v>
      </c>
      <c r="Z35" s="7">
        <f t="shared" si="30"/>
        <v>114701.18000000001</v>
      </c>
      <c r="AA35" s="148" t="str">
        <f t="shared" si="31"/>
        <v>20%</v>
      </c>
      <c r="AB35" s="148">
        <f t="shared" si="32"/>
        <v>0.8</v>
      </c>
      <c r="AC35" s="25">
        <v>41106</v>
      </c>
      <c r="AD35" s="25">
        <v>41106</v>
      </c>
      <c r="AE35" s="25">
        <v>41106</v>
      </c>
      <c r="AF35" s="8"/>
      <c r="AG35" s="59" t="str">
        <f t="shared" ca="1" si="34"/>
        <v>NA</v>
      </c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59" t="str">
        <f t="shared" si="90"/>
        <v>NA</v>
      </c>
      <c r="AS35" s="59" t="str">
        <f t="shared" si="91"/>
        <v/>
      </c>
      <c r="AT35" s="59"/>
      <c r="AU35" s="59" t="str">
        <f t="shared" si="1"/>
        <v>ND</v>
      </c>
      <c r="AV35" s="66"/>
      <c r="AW35" s="66"/>
      <c r="AX35" s="66"/>
      <c r="AY35" s="66"/>
      <c r="AZ35" s="8"/>
      <c r="BA35" s="8" t="s">
        <v>37</v>
      </c>
      <c r="BB35" s="8"/>
      <c r="BC35" s="8"/>
      <c r="BD35" s="8"/>
      <c r="BE35" s="8"/>
      <c r="BF35" s="8"/>
      <c r="BG35" s="8"/>
      <c r="BH35" s="8"/>
      <c r="BI35" s="8"/>
      <c r="BJ35" s="8"/>
      <c r="BK35" s="59"/>
      <c r="BL35" s="59"/>
      <c r="BM35" s="59"/>
      <c r="BN35" s="164">
        <v>0.01</v>
      </c>
      <c r="BO35" s="165">
        <f t="shared" si="37"/>
        <v>3823.3726666666666</v>
      </c>
      <c r="BP35" s="165">
        <f t="shared" ref="BP35:BQ35" si="128">BO35</f>
        <v>3823.3726666666666</v>
      </c>
      <c r="BQ35" s="165">
        <f t="shared" si="128"/>
        <v>3823.3726666666666</v>
      </c>
      <c r="BR35" s="59"/>
      <c r="BS35" s="59"/>
      <c r="BT35" s="59"/>
      <c r="BU35" s="59"/>
      <c r="BV35" s="59" t="str">
        <f t="shared" si="83"/>
        <v>ND</v>
      </c>
      <c r="BW35" s="59" t="str">
        <f t="shared" si="84"/>
        <v>ND</v>
      </c>
      <c r="BX35" s="59" t="str">
        <f t="shared" si="85"/>
        <v>ND</v>
      </c>
      <c r="BY35" s="59" t="str">
        <f t="shared" si="86"/>
        <v>ND</v>
      </c>
      <c r="BZ35" s="59" t="str">
        <f t="shared" si="3"/>
        <v>NA</v>
      </c>
      <c r="CA35" s="59" t="str">
        <f t="shared" si="4"/>
        <v/>
      </c>
      <c r="CB35" s="59" t="str">
        <f t="shared" si="5"/>
        <v>NA</v>
      </c>
      <c r="CC35" s="59" t="str">
        <f t="shared" si="6"/>
        <v/>
      </c>
      <c r="CD35" s="59" t="str">
        <f t="shared" si="7"/>
        <v>NA</v>
      </c>
      <c r="CE35" s="59" t="str">
        <f t="shared" si="8"/>
        <v/>
      </c>
      <c r="CF35" s="59" t="str">
        <f t="shared" si="9"/>
        <v>NA</v>
      </c>
      <c r="CG35" s="59" t="str">
        <f t="shared" ca="1" si="10"/>
        <v>NA</v>
      </c>
      <c r="CH35" s="59" t="str">
        <f t="shared" ca="1" si="11"/>
        <v>NA</v>
      </c>
      <c r="CI35" s="59" t="str">
        <f t="shared" ca="1" si="12"/>
        <v>DE 16 A 20 DIAS</v>
      </c>
      <c r="CJ35" s="59" t="str">
        <f t="shared" ca="1" si="13"/>
        <v>DE 16 A 20 DIAS</v>
      </c>
      <c r="CK35" s="59" t="str">
        <f t="shared" ca="1" si="14"/>
        <v>DE 16 A 20 DIAS</v>
      </c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>
        <f t="shared" si="43"/>
        <v>0</v>
      </c>
      <c r="DH35" s="8">
        <f t="shared" si="79"/>
        <v>0</v>
      </c>
      <c r="DI35" s="8">
        <f t="shared" si="44"/>
        <v>0</v>
      </c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59" t="str">
        <f t="shared" si="45"/>
        <v>NA</v>
      </c>
      <c r="DU35" s="59" t="str">
        <f t="shared" si="46"/>
        <v>NA</v>
      </c>
      <c r="DV35" s="59" t="str">
        <f t="shared" si="47"/>
        <v>NA</v>
      </c>
      <c r="DW35" s="59" t="str">
        <f t="shared" si="48"/>
        <v>NA</v>
      </c>
      <c r="DX35" s="59" t="str">
        <f t="shared" si="49"/>
        <v>NA</v>
      </c>
      <c r="DY35" s="59" t="str">
        <f t="shared" si="50"/>
        <v>NA</v>
      </c>
      <c r="DZ35" s="59" t="str">
        <f t="shared" si="51"/>
        <v>NA</v>
      </c>
      <c r="EA35" s="59" t="str">
        <f t="shared" si="52"/>
        <v>NA</v>
      </c>
      <c r="EB35" s="59" t="str">
        <f t="shared" si="53"/>
        <v>NA</v>
      </c>
      <c r="EC35" s="59" t="str">
        <f t="shared" si="54"/>
        <v>NA</v>
      </c>
      <c r="ED35" s="59" t="str">
        <f t="shared" si="55"/>
        <v/>
      </c>
      <c r="EE35" s="59" t="str">
        <f t="shared" si="56"/>
        <v/>
      </c>
      <c r="EF35" s="59" t="str">
        <f t="shared" si="57"/>
        <v/>
      </c>
      <c r="EG35" s="59" t="str">
        <f t="shared" si="58"/>
        <v/>
      </c>
      <c r="EH35" s="59" t="str">
        <f t="shared" si="59"/>
        <v/>
      </c>
      <c r="EI35" s="59" t="str">
        <f t="shared" si="60"/>
        <v/>
      </c>
      <c r="EJ35" s="59" t="str">
        <f t="shared" si="61"/>
        <v/>
      </c>
      <c r="EK35" s="59" t="str">
        <f t="shared" si="62"/>
        <v/>
      </c>
      <c r="EL35" s="59" t="str">
        <f t="shared" si="63"/>
        <v/>
      </c>
      <c r="EM35" s="59" t="str">
        <f t="shared" si="64"/>
        <v/>
      </c>
      <c r="EN35" s="59" t="str">
        <f t="shared" si="65"/>
        <v/>
      </c>
      <c r="EO35" s="59" t="str">
        <f t="shared" si="66"/>
        <v/>
      </c>
      <c r="EP35" s="59" t="str">
        <f t="shared" si="67"/>
        <v/>
      </c>
      <c r="EQ35" s="59" t="str">
        <f t="shared" si="68"/>
        <v/>
      </c>
      <c r="ER35" s="59" t="str">
        <f t="shared" si="69"/>
        <v/>
      </c>
      <c r="ES35" s="59" t="str">
        <f t="shared" si="70"/>
        <v/>
      </c>
      <c r="ET35" s="59" t="str">
        <f t="shared" si="71"/>
        <v/>
      </c>
      <c r="EU35" s="59" t="str">
        <f t="shared" si="72"/>
        <v/>
      </c>
      <c r="EV35" s="59" t="str">
        <f t="shared" si="73"/>
        <v/>
      </c>
      <c r="EW35" s="59" t="str">
        <f t="shared" si="74"/>
        <v/>
      </c>
      <c r="EX35" s="56">
        <f t="shared" si="26"/>
        <v>1147011.8</v>
      </c>
    </row>
    <row r="36" spans="1:154" x14ac:dyDescent="0.25">
      <c r="A36" s="2">
        <f t="shared" si="75"/>
        <v>35</v>
      </c>
      <c r="B36" s="2" t="s">
        <v>6</v>
      </c>
      <c r="C36" s="2" t="str">
        <f t="shared" si="27"/>
        <v>020401</v>
      </c>
      <c r="D36" s="2">
        <v>2</v>
      </c>
      <c r="E36" s="2">
        <v>4</v>
      </c>
      <c r="F36" s="2">
        <v>1</v>
      </c>
      <c r="G36" s="11" t="s">
        <v>12</v>
      </c>
      <c r="H36" s="4"/>
      <c r="I36" s="42" t="s">
        <v>58</v>
      </c>
      <c r="J36" s="9">
        <v>83.037999999999997</v>
      </c>
      <c r="K36" s="5"/>
      <c r="L36" s="6" t="s">
        <v>306</v>
      </c>
      <c r="M36" s="24" t="s">
        <v>178</v>
      </c>
      <c r="N36" s="7">
        <f t="shared" si="76"/>
        <v>1137544.3999999999</v>
      </c>
      <c r="O36" s="8">
        <v>74</v>
      </c>
      <c r="P36" s="25">
        <v>41243</v>
      </c>
      <c r="Q36" s="8" t="str">
        <f t="shared" si="28"/>
        <v>2DA-NOV</v>
      </c>
      <c r="R36" s="26">
        <v>0</v>
      </c>
      <c r="S36" s="41" t="s">
        <v>34</v>
      </c>
      <c r="T36" s="8" t="s">
        <v>353</v>
      </c>
      <c r="U36" s="8"/>
      <c r="V36" s="7">
        <v>568772.19999999995</v>
      </c>
      <c r="W36" s="7">
        <f t="shared" si="119"/>
        <v>113754.44</v>
      </c>
      <c r="X36" s="7">
        <f t="shared" si="29"/>
        <v>455017.75999999995</v>
      </c>
      <c r="Y36" s="7">
        <v>0</v>
      </c>
      <c r="Z36" s="7">
        <f t="shared" si="30"/>
        <v>113754.44</v>
      </c>
      <c r="AA36" s="148" t="str">
        <f t="shared" si="31"/>
        <v>20%</v>
      </c>
      <c r="AB36" s="148">
        <f t="shared" si="32"/>
        <v>0.8</v>
      </c>
      <c r="AC36" s="25">
        <v>41090</v>
      </c>
      <c r="AD36" s="25">
        <v>41090</v>
      </c>
      <c r="AE36" s="25">
        <v>41090</v>
      </c>
      <c r="AF36" s="8"/>
      <c r="AG36" s="59" t="str">
        <f t="shared" ca="1" si="34"/>
        <v>NA</v>
      </c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59" t="str">
        <f t="shared" si="90"/>
        <v>NA</v>
      </c>
      <c r="AS36" s="59" t="str">
        <f t="shared" si="91"/>
        <v/>
      </c>
      <c r="AT36" s="59"/>
      <c r="AU36" s="59" t="str">
        <f t="shared" si="1"/>
        <v>ND</v>
      </c>
      <c r="AV36" s="66"/>
      <c r="AW36" s="66"/>
      <c r="AX36" s="66"/>
      <c r="AY36" s="66"/>
      <c r="AZ36" s="8"/>
      <c r="BA36" s="8" t="s">
        <v>37</v>
      </c>
      <c r="BB36" s="8"/>
      <c r="BC36" s="8"/>
      <c r="BD36" s="8"/>
      <c r="BE36" s="8"/>
      <c r="BF36" s="8"/>
      <c r="BG36" s="8"/>
      <c r="BH36" s="8"/>
      <c r="BI36" s="8"/>
      <c r="BJ36" s="8"/>
      <c r="BK36" s="59"/>
      <c r="BL36" s="59"/>
      <c r="BM36" s="59"/>
      <c r="BN36" s="164">
        <v>0.01</v>
      </c>
      <c r="BO36" s="165">
        <f t="shared" si="37"/>
        <v>3791.8146666666667</v>
      </c>
      <c r="BP36" s="165">
        <f t="shared" ref="BP36:BQ36" si="129">BO36</f>
        <v>3791.8146666666667</v>
      </c>
      <c r="BQ36" s="165">
        <f t="shared" si="129"/>
        <v>3791.8146666666667</v>
      </c>
      <c r="BR36" s="59"/>
      <c r="BS36" s="59"/>
      <c r="BT36" s="59"/>
      <c r="BU36" s="59"/>
      <c r="BV36" s="59" t="str">
        <f t="shared" si="83"/>
        <v>ND</v>
      </c>
      <c r="BW36" s="59" t="str">
        <f t="shared" si="84"/>
        <v>ND</v>
      </c>
      <c r="BX36" s="59" t="str">
        <f t="shared" si="85"/>
        <v>ND</v>
      </c>
      <c r="BY36" s="59" t="str">
        <f t="shared" si="86"/>
        <v>ND</v>
      </c>
      <c r="BZ36" s="59" t="str">
        <f t="shared" si="3"/>
        <v>NA</v>
      </c>
      <c r="CA36" s="59" t="str">
        <f t="shared" si="4"/>
        <v/>
      </c>
      <c r="CB36" s="59" t="str">
        <f t="shared" si="5"/>
        <v>NA</v>
      </c>
      <c r="CC36" s="59" t="str">
        <f t="shared" si="6"/>
        <v/>
      </c>
      <c r="CD36" s="59" t="str">
        <f t="shared" si="7"/>
        <v>NA</v>
      </c>
      <c r="CE36" s="59" t="str">
        <f t="shared" si="8"/>
        <v/>
      </c>
      <c r="CF36" s="59" t="str">
        <f t="shared" si="9"/>
        <v>NA</v>
      </c>
      <c r="CG36" s="59" t="str">
        <f t="shared" ca="1" si="10"/>
        <v>NA</v>
      </c>
      <c r="CH36" s="59" t="str">
        <f t="shared" ca="1" si="11"/>
        <v>NA</v>
      </c>
      <c r="CI36" s="59" t="str">
        <f t="shared" ca="1" si="12"/>
        <v>DE 31 A 35 DIAS</v>
      </c>
      <c r="CJ36" s="59" t="str">
        <f t="shared" ca="1" si="13"/>
        <v>DE 31 A 35 DIAS</v>
      </c>
      <c r="CK36" s="59" t="str">
        <f t="shared" ca="1" si="14"/>
        <v>DE 31 A 35 DIAS</v>
      </c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>
        <f t="shared" si="43"/>
        <v>0</v>
      </c>
      <c r="DH36" s="8">
        <f t="shared" si="79"/>
        <v>0</v>
      </c>
      <c r="DI36" s="8">
        <f t="shared" si="44"/>
        <v>0</v>
      </c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59" t="str">
        <f t="shared" si="45"/>
        <v>NA</v>
      </c>
      <c r="DU36" s="59" t="str">
        <f t="shared" si="46"/>
        <v>NA</v>
      </c>
      <c r="DV36" s="59" t="str">
        <f t="shared" si="47"/>
        <v>NA</v>
      </c>
      <c r="DW36" s="59" t="str">
        <f t="shared" si="48"/>
        <v>NA</v>
      </c>
      <c r="DX36" s="59" t="str">
        <f t="shared" si="49"/>
        <v>NA</v>
      </c>
      <c r="DY36" s="59" t="str">
        <f t="shared" si="50"/>
        <v>NA</v>
      </c>
      <c r="DZ36" s="59" t="str">
        <f t="shared" si="51"/>
        <v>NA</v>
      </c>
      <c r="EA36" s="59" t="str">
        <f t="shared" si="52"/>
        <v>NA</v>
      </c>
      <c r="EB36" s="59" t="str">
        <f t="shared" si="53"/>
        <v>NA</v>
      </c>
      <c r="EC36" s="59" t="str">
        <f t="shared" si="54"/>
        <v>NA</v>
      </c>
      <c r="ED36" s="59" t="str">
        <f t="shared" si="55"/>
        <v/>
      </c>
      <c r="EE36" s="59" t="str">
        <f t="shared" si="56"/>
        <v/>
      </c>
      <c r="EF36" s="59" t="str">
        <f t="shared" si="57"/>
        <v/>
      </c>
      <c r="EG36" s="59" t="str">
        <f t="shared" si="58"/>
        <v/>
      </c>
      <c r="EH36" s="59" t="str">
        <f t="shared" si="59"/>
        <v/>
      </c>
      <c r="EI36" s="59" t="str">
        <f t="shared" si="60"/>
        <v/>
      </c>
      <c r="EJ36" s="59" t="str">
        <f t="shared" si="61"/>
        <v/>
      </c>
      <c r="EK36" s="59" t="str">
        <f t="shared" si="62"/>
        <v/>
      </c>
      <c r="EL36" s="59" t="str">
        <f t="shared" si="63"/>
        <v/>
      </c>
      <c r="EM36" s="59" t="str">
        <f t="shared" si="64"/>
        <v/>
      </c>
      <c r="EN36" s="59" t="str">
        <f t="shared" si="65"/>
        <v/>
      </c>
      <c r="EO36" s="59" t="str">
        <f t="shared" si="66"/>
        <v/>
      </c>
      <c r="EP36" s="59" t="str">
        <f t="shared" si="67"/>
        <v/>
      </c>
      <c r="EQ36" s="59" t="str">
        <f t="shared" si="68"/>
        <v/>
      </c>
      <c r="ER36" s="59" t="str">
        <f t="shared" si="69"/>
        <v/>
      </c>
      <c r="ES36" s="59" t="str">
        <f t="shared" si="70"/>
        <v/>
      </c>
      <c r="ET36" s="59" t="str">
        <f t="shared" si="71"/>
        <v/>
      </c>
      <c r="EU36" s="59" t="str">
        <f t="shared" si="72"/>
        <v/>
      </c>
      <c r="EV36" s="59" t="str">
        <f t="shared" si="73"/>
        <v/>
      </c>
      <c r="EW36" s="59" t="str">
        <f t="shared" si="74"/>
        <v/>
      </c>
      <c r="EX36" s="56">
        <f t="shared" si="26"/>
        <v>1137544.3999999999</v>
      </c>
    </row>
    <row r="37" spans="1:154" x14ac:dyDescent="0.25">
      <c r="A37" s="2">
        <f t="shared" si="75"/>
        <v>36</v>
      </c>
      <c r="B37" s="2" t="s">
        <v>6</v>
      </c>
      <c r="C37" s="2" t="str">
        <f t="shared" si="27"/>
        <v>020402</v>
      </c>
      <c r="D37" s="2">
        <v>2</v>
      </c>
      <c r="E37" s="2">
        <v>4</v>
      </c>
      <c r="F37" s="2">
        <v>2</v>
      </c>
      <c r="G37" s="11" t="s">
        <v>12</v>
      </c>
      <c r="H37" s="4"/>
      <c r="I37" s="42" t="s">
        <v>58</v>
      </c>
      <c r="J37" s="9">
        <v>80</v>
      </c>
      <c r="K37" s="5"/>
      <c r="L37" s="6" t="s">
        <v>306</v>
      </c>
      <c r="M37" s="24" t="s">
        <v>178</v>
      </c>
      <c r="N37" s="7">
        <f t="shared" si="76"/>
        <v>1126000</v>
      </c>
      <c r="O37" s="8">
        <v>75</v>
      </c>
      <c r="P37" s="25">
        <v>41243</v>
      </c>
      <c r="Q37" s="8" t="str">
        <f t="shared" si="28"/>
        <v>2DA-NOV</v>
      </c>
      <c r="R37" s="26">
        <v>0</v>
      </c>
      <c r="S37" s="41" t="s">
        <v>34</v>
      </c>
      <c r="T37" s="8" t="s">
        <v>353</v>
      </c>
      <c r="U37" s="8"/>
      <c r="V37" s="7">
        <v>563000</v>
      </c>
      <c r="W37" s="7">
        <f>+V37*0.79</f>
        <v>444770</v>
      </c>
      <c r="X37" s="7">
        <f t="shared" si="29"/>
        <v>118230</v>
      </c>
      <c r="Y37" s="7">
        <v>0</v>
      </c>
      <c r="Z37" s="7">
        <f t="shared" si="30"/>
        <v>444770</v>
      </c>
      <c r="AA37" s="148" t="str">
        <f t="shared" si="31"/>
        <v>80%</v>
      </c>
      <c r="AB37" s="148">
        <f t="shared" si="32"/>
        <v>0.19999999999999996</v>
      </c>
      <c r="AC37" s="25"/>
      <c r="AD37" s="25"/>
      <c r="AE37" s="25"/>
      <c r="AF37" s="8"/>
      <c r="AG37" s="59" t="str">
        <f t="shared" ca="1" si="34"/>
        <v>NA</v>
      </c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59" t="str">
        <f t="shared" si="90"/>
        <v>NA</v>
      </c>
      <c r="AS37" s="59" t="str">
        <f t="shared" si="91"/>
        <v/>
      </c>
      <c r="AT37" s="59"/>
      <c r="AU37" s="59" t="str">
        <f t="shared" si="1"/>
        <v>ND</v>
      </c>
      <c r="AV37" s="66"/>
      <c r="AW37" s="66"/>
      <c r="AX37" s="66"/>
      <c r="AY37" s="66"/>
      <c r="AZ37" s="8"/>
      <c r="BA37" s="8" t="s">
        <v>37</v>
      </c>
      <c r="BB37" s="8"/>
      <c r="BC37" s="8"/>
      <c r="BD37" s="8"/>
      <c r="BE37" s="8"/>
      <c r="BF37" s="8"/>
      <c r="BG37" s="8"/>
      <c r="BH37" s="8"/>
      <c r="BI37" s="8"/>
      <c r="BJ37" s="8"/>
      <c r="BK37" s="59"/>
      <c r="BL37" s="59"/>
      <c r="BM37" s="59"/>
      <c r="BN37" s="164">
        <v>0.01</v>
      </c>
      <c r="BO37" s="165">
        <f t="shared" si="37"/>
        <v>3753.3333333333335</v>
      </c>
      <c r="BP37" s="165">
        <f t="shared" ref="BP37:BQ37" si="130">BO37</f>
        <v>3753.3333333333335</v>
      </c>
      <c r="BQ37" s="165">
        <f t="shared" si="130"/>
        <v>3753.3333333333335</v>
      </c>
      <c r="BR37" s="59"/>
      <c r="BS37" s="59"/>
      <c r="BT37" s="59"/>
      <c r="BU37" s="59"/>
      <c r="BV37" s="59" t="str">
        <f t="shared" si="83"/>
        <v>ND</v>
      </c>
      <c r="BW37" s="59" t="str">
        <f t="shared" si="84"/>
        <v>ND</v>
      </c>
      <c r="BX37" s="59" t="str">
        <f t="shared" si="85"/>
        <v>ND</v>
      </c>
      <c r="BY37" s="59" t="str">
        <f t="shared" si="86"/>
        <v>ND</v>
      </c>
      <c r="BZ37" s="59" t="str">
        <f t="shared" si="3"/>
        <v>NA</v>
      </c>
      <c r="CA37" s="59" t="str">
        <f t="shared" si="4"/>
        <v/>
      </c>
      <c r="CB37" s="59" t="str">
        <f t="shared" si="5"/>
        <v>NA</v>
      </c>
      <c r="CC37" s="59" t="str">
        <f t="shared" si="6"/>
        <v/>
      </c>
      <c r="CD37" s="59" t="str">
        <f t="shared" si="7"/>
        <v>NA</v>
      </c>
      <c r="CE37" s="59" t="str">
        <f t="shared" si="8"/>
        <v/>
      </c>
      <c r="CF37" s="59" t="str">
        <f t="shared" si="9"/>
        <v>NA</v>
      </c>
      <c r="CG37" s="59" t="str">
        <f t="shared" ca="1" si="10"/>
        <v>NA</v>
      </c>
      <c r="CH37" s="59" t="str">
        <f t="shared" ca="1" si="11"/>
        <v>NA</v>
      </c>
      <c r="CI37" s="59" t="str">
        <f t="shared" ca="1" si="12"/>
        <v>ND</v>
      </c>
      <c r="CJ37" s="59" t="str">
        <f t="shared" ca="1" si="13"/>
        <v>ND</v>
      </c>
      <c r="CK37" s="59" t="str">
        <f t="shared" ca="1" si="14"/>
        <v>ND</v>
      </c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>
        <f t="shared" si="43"/>
        <v>0</v>
      </c>
      <c r="DH37" s="8">
        <f t="shared" si="79"/>
        <v>0</v>
      </c>
      <c r="DI37" s="8">
        <f t="shared" si="44"/>
        <v>0</v>
      </c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59" t="str">
        <f t="shared" si="45"/>
        <v>NA</v>
      </c>
      <c r="DU37" s="59" t="str">
        <f t="shared" si="46"/>
        <v>NA</v>
      </c>
      <c r="DV37" s="59" t="str">
        <f t="shared" si="47"/>
        <v>NA</v>
      </c>
      <c r="DW37" s="59" t="str">
        <f t="shared" si="48"/>
        <v>NA</v>
      </c>
      <c r="DX37" s="59" t="str">
        <f t="shared" si="49"/>
        <v>NA</v>
      </c>
      <c r="DY37" s="59" t="str">
        <f t="shared" si="50"/>
        <v>NA</v>
      </c>
      <c r="DZ37" s="59" t="str">
        <f t="shared" si="51"/>
        <v>NA</v>
      </c>
      <c r="EA37" s="59" t="str">
        <f t="shared" si="52"/>
        <v>NA</v>
      </c>
      <c r="EB37" s="59" t="str">
        <f t="shared" si="53"/>
        <v>NA</v>
      </c>
      <c r="EC37" s="59" t="str">
        <f t="shared" si="54"/>
        <v>NA</v>
      </c>
      <c r="ED37" s="59" t="str">
        <f t="shared" si="55"/>
        <v/>
      </c>
      <c r="EE37" s="59" t="str">
        <f t="shared" si="56"/>
        <v/>
      </c>
      <c r="EF37" s="59" t="str">
        <f t="shared" si="57"/>
        <v/>
      </c>
      <c r="EG37" s="59" t="str">
        <f t="shared" si="58"/>
        <v/>
      </c>
      <c r="EH37" s="59" t="str">
        <f t="shared" si="59"/>
        <v/>
      </c>
      <c r="EI37" s="59" t="str">
        <f t="shared" si="60"/>
        <v/>
      </c>
      <c r="EJ37" s="59" t="str">
        <f t="shared" si="61"/>
        <v/>
      </c>
      <c r="EK37" s="59" t="str">
        <f t="shared" si="62"/>
        <v/>
      </c>
      <c r="EL37" s="59" t="str">
        <f t="shared" si="63"/>
        <v/>
      </c>
      <c r="EM37" s="59" t="str">
        <f t="shared" si="64"/>
        <v/>
      </c>
      <c r="EN37" s="59" t="str">
        <f t="shared" si="65"/>
        <v/>
      </c>
      <c r="EO37" s="59" t="str">
        <f t="shared" si="66"/>
        <v/>
      </c>
      <c r="EP37" s="59" t="str">
        <f t="shared" si="67"/>
        <v/>
      </c>
      <c r="EQ37" s="59" t="str">
        <f t="shared" si="68"/>
        <v/>
      </c>
      <c r="ER37" s="59" t="str">
        <f t="shared" si="69"/>
        <v/>
      </c>
      <c r="ES37" s="59" t="str">
        <f t="shared" si="70"/>
        <v/>
      </c>
      <c r="ET37" s="59" t="str">
        <f t="shared" si="71"/>
        <v/>
      </c>
      <c r="EU37" s="59" t="str">
        <f t="shared" si="72"/>
        <v/>
      </c>
      <c r="EV37" s="59" t="str">
        <f t="shared" si="73"/>
        <v/>
      </c>
      <c r="EW37" s="59" t="str">
        <f t="shared" si="74"/>
        <v/>
      </c>
      <c r="EX37" s="56">
        <f t="shared" si="26"/>
        <v>1126000</v>
      </c>
    </row>
    <row r="38" spans="1:154" x14ac:dyDescent="0.25">
      <c r="A38" s="2">
        <f t="shared" si="75"/>
        <v>37</v>
      </c>
      <c r="B38" s="2" t="s">
        <v>6</v>
      </c>
      <c r="C38" s="2" t="str">
        <f t="shared" si="27"/>
        <v>020403</v>
      </c>
      <c r="D38" s="2">
        <v>2</v>
      </c>
      <c r="E38" s="2">
        <v>4</v>
      </c>
      <c r="F38" s="2">
        <v>3</v>
      </c>
      <c r="G38" s="11" t="s">
        <v>12</v>
      </c>
      <c r="H38" s="4"/>
      <c r="I38" s="42" t="s">
        <v>58</v>
      </c>
      <c r="J38" s="9">
        <v>80</v>
      </c>
      <c r="K38" s="9"/>
      <c r="L38" s="10" t="s">
        <v>8</v>
      </c>
      <c r="M38" s="24" t="s">
        <v>178</v>
      </c>
      <c r="N38" s="7">
        <f t="shared" si="76"/>
        <v>1135000</v>
      </c>
      <c r="O38" s="8">
        <v>76</v>
      </c>
      <c r="P38" s="25">
        <v>41243</v>
      </c>
      <c r="Q38" s="8" t="str">
        <f t="shared" si="28"/>
        <v>2DA-NOV</v>
      </c>
      <c r="R38" s="26">
        <v>0</v>
      </c>
      <c r="S38" s="41" t="s">
        <v>34</v>
      </c>
      <c r="T38" s="8" t="s">
        <v>353</v>
      </c>
      <c r="U38" s="8"/>
      <c r="V38" s="7">
        <v>567500</v>
      </c>
      <c r="W38" s="7">
        <f t="shared" ref="W38:W49" si="131">+V38*0.79</f>
        <v>448325</v>
      </c>
      <c r="X38" s="7">
        <f t="shared" si="29"/>
        <v>119175</v>
      </c>
      <c r="Y38" s="7">
        <v>0</v>
      </c>
      <c r="Z38" s="7">
        <f t="shared" si="30"/>
        <v>448325</v>
      </c>
      <c r="AA38" s="148" t="str">
        <f t="shared" si="31"/>
        <v>80%</v>
      </c>
      <c r="AB38" s="148">
        <f t="shared" si="32"/>
        <v>0.19999999999999996</v>
      </c>
      <c r="AC38" s="25"/>
      <c r="AD38" s="25"/>
      <c r="AE38" s="25"/>
      <c r="AF38" s="8"/>
      <c r="AG38" s="59" t="str">
        <f t="shared" ca="1" si="34"/>
        <v>NA</v>
      </c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59" t="str">
        <f t="shared" si="90"/>
        <v>NA</v>
      </c>
      <c r="AS38" s="59" t="str">
        <f t="shared" si="91"/>
        <v/>
      </c>
      <c r="AT38" s="59"/>
      <c r="AU38" s="59" t="str">
        <f t="shared" si="1"/>
        <v>ND</v>
      </c>
      <c r="AV38" s="66"/>
      <c r="AW38" s="66"/>
      <c r="AX38" s="66"/>
      <c r="AY38" s="66"/>
      <c r="AZ38" s="8"/>
      <c r="BA38" s="8" t="s">
        <v>37</v>
      </c>
      <c r="BB38" s="8"/>
      <c r="BC38" s="8"/>
      <c r="BD38" s="8"/>
      <c r="BE38" s="8"/>
      <c r="BF38" s="8"/>
      <c r="BG38" s="8"/>
      <c r="BH38" s="8"/>
      <c r="BI38" s="8"/>
      <c r="BJ38" s="8"/>
      <c r="BK38" s="59"/>
      <c r="BL38" s="59"/>
      <c r="BM38" s="59"/>
      <c r="BN38" s="164">
        <v>0.01</v>
      </c>
      <c r="BO38" s="165">
        <f t="shared" si="37"/>
        <v>3783.3333333333335</v>
      </c>
      <c r="BP38" s="165">
        <f t="shared" ref="BP38:BQ38" si="132">BO38</f>
        <v>3783.3333333333335</v>
      </c>
      <c r="BQ38" s="165">
        <f t="shared" si="132"/>
        <v>3783.3333333333335</v>
      </c>
      <c r="BR38" s="59"/>
      <c r="BS38" s="59"/>
      <c r="BT38" s="59"/>
      <c r="BU38" s="59"/>
      <c r="BV38" s="59" t="str">
        <f t="shared" si="83"/>
        <v>ND</v>
      </c>
      <c r="BW38" s="59" t="str">
        <f t="shared" si="84"/>
        <v>ND</v>
      </c>
      <c r="BX38" s="59" t="str">
        <f t="shared" si="85"/>
        <v>ND</v>
      </c>
      <c r="BY38" s="59" t="str">
        <f t="shared" si="86"/>
        <v>ND</v>
      </c>
      <c r="BZ38" s="59" t="str">
        <f t="shared" si="3"/>
        <v>NA</v>
      </c>
      <c r="CA38" s="59" t="str">
        <f t="shared" si="4"/>
        <v/>
      </c>
      <c r="CB38" s="59" t="str">
        <f t="shared" si="5"/>
        <v>NA</v>
      </c>
      <c r="CC38" s="59" t="str">
        <f t="shared" si="6"/>
        <v/>
      </c>
      <c r="CD38" s="59" t="str">
        <f t="shared" si="7"/>
        <v>NA</v>
      </c>
      <c r="CE38" s="59" t="str">
        <f t="shared" si="8"/>
        <v/>
      </c>
      <c r="CF38" s="59" t="str">
        <f t="shared" si="9"/>
        <v>NA</v>
      </c>
      <c r="CG38" s="59" t="str">
        <f t="shared" ca="1" si="10"/>
        <v>NA</v>
      </c>
      <c r="CH38" s="59" t="str">
        <f t="shared" ca="1" si="11"/>
        <v>NA</v>
      </c>
      <c r="CI38" s="59" t="str">
        <f t="shared" ca="1" si="12"/>
        <v>ND</v>
      </c>
      <c r="CJ38" s="59" t="str">
        <f t="shared" ca="1" si="13"/>
        <v>ND</v>
      </c>
      <c r="CK38" s="59" t="str">
        <f t="shared" ca="1" si="14"/>
        <v>ND</v>
      </c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>
        <f t="shared" si="43"/>
        <v>0</v>
      </c>
      <c r="DH38" s="8">
        <f t="shared" si="79"/>
        <v>0</v>
      </c>
      <c r="DI38" s="8">
        <f t="shared" si="44"/>
        <v>0</v>
      </c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59" t="str">
        <f t="shared" si="45"/>
        <v>NA</v>
      </c>
      <c r="DU38" s="59" t="str">
        <f t="shared" si="46"/>
        <v>NA</v>
      </c>
      <c r="DV38" s="59" t="str">
        <f t="shared" si="47"/>
        <v>NA</v>
      </c>
      <c r="DW38" s="59" t="str">
        <f t="shared" si="48"/>
        <v>NA</v>
      </c>
      <c r="DX38" s="59" t="str">
        <f t="shared" si="49"/>
        <v>NA</v>
      </c>
      <c r="DY38" s="59" t="str">
        <f t="shared" si="50"/>
        <v>NA</v>
      </c>
      <c r="DZ38" s="59" t="str">
        <f t="shared" si="51"/>
        <v>NA</v>
      </c>
      <c r="EA38" s="59" t="str">
        <f t="shared" si="52"/>
        <v>NA</v>
      </c>
      <c r="EB38" s="59" t="str">
        <f t="shared" si="53"/>
        <v>NA</v>
      </c>
      <c r="EC38" s="59" t="str">
        <f t="shared" si="54"/>
        <v>NA</v>
      </c>
      <c r="ED38" s="59" t="str">
        <f t="shared" si="55"/>
        <v/>
      </c>
      <c r="EE38" s="59" t="str">
        <f t="shared" si="56"/>
        <v/>
      </c>
      <c r="EF38" s="59" t="str">
        <f t="shared" si="57"/>
        <v/>
      </c>
      <c r="EG38" s="59" t="str">
        <f t="shared" si="58"/>
        <v/>
      </c>
      <c r="EH38" s="59" t="str">
        <f t="shared" si="59"/>
        <v/>
      </c>
      <c r="EI38" s="59" t="str">
        <f t="shared" si="60"/>
        <v/>
      </c>
      <c r="EJ38" s="59" t="str">
        <f t="shared" si="61"/>
        <v/>
      </c>
      <c r="EK38" s="59" t="str">
        <f t="shared" si="62"/>
        <v/>
      </c>
      <c r="EL38" s="59" t="str">
        <f t="shared" si="63"/>
        <v/>
      </c>
      <c r="EM38" s="59" t="str">
        <f t="shared" si="64"/>
        <v/>
      </c>
      <c r="EN38" s="59" t="str">
        <f t="shared" si="65"/>
        <v/>
      </c>
      <c r="EO38" s="59" t="str">
        <f t="shared" si="66"/>
        <v/>
      </c>
      <c r="EP38" s="59" t="str">
        <f t="shared" si="67"/>
        <v/>
      </c>
      <c r="EQ38" s="59" t="str">
        <f t="shared" si="68"/>
        <v/>
      </c>
      <c r="ER38" s="59" t="str">
        <f t="shared" si="69"/>
        <v/>
      </c>
      <c r="ES38" s="59" t="str">
        <f t="shared" si="70"/>
        <v/>
      </c>
      <c r="ET38" s="59" t="str">
        <f t="shared" si="71"/>
        <v/>
      </c>
      <c r="EU38" s="59" t="str">
        <f t="shared" si="72"/>
        <v/>
      </c>
      <c r="EV38" s="59" t="str">
        <f t="shared" si="73"/>
        <v/>
      </c>
      <c r="EW38" s="59" t="str">
        <f t="shared" si="74"/>
        <v/>
      </c>
      <c r="EX38" s="56">
        <f t="shared" si="26"/>
        <v>1135000</v>
      </c>
    </row>
    <row r="39" spans="1:154" x14ac:dyDescent="0.25">
      <c r="A39" s="2">
        <f t="shared" si="75"/>
        <v>38</v>
      </c>
      <c r="B39" s="2" t="s">
        <v>6</v>
      </c>
      <c r="C39" s="2" t="str">
        <f t="shared" si="27"/>
        <v>020404</v>
      </c>
      <c r="D39" s="2">
        <v>2</v>
      </c>
      <c r="E39" s="2">
        <v>4</v>
      </c>
      <c r="F39" s="2">
        <v>4</v>
      </c>
      <c r="G39" s="11" t="s">
        <v>12</v>
      </c>
      <c r="H39" s="4"/>
      <c r="I39" s="42" t="s">
        <v>58</v>
      </c>
      <c r="J39" s="9">
        <v>80</v>
      </c>
      <c r="K39" s="5"/>
      <c r="L39" s="6" t="s">
        <v>306</v>
      </c>
      <c r="M39" s="24" t="s">
        <v>178</v>
      </c>
      <c r="N39" s="7">
        <f t="shared" si="76"/>
        <v>1126000</v>
      </c>
      <c r="O39" s="8">
        <v>77</v>
      </c>
      <c r="P39" s="25">
        <v>41243</v>
      </c>
      <c r="Q39" s="8" t="str">
        <f t="shared" si="28"/>
        <v>2DA-NOV</v>
      </c>
      <c r="R39" s="26">
        <v>0</v>
      </c>
      <c r="S39" s="41" t="s">
        <v>34</v>
      </c>
      <c r="T39" s="8" t="s">
        <v>353</v>
      </c>
      <c r="U39" s="8"/>
      <c r="V39" s="7">
        <v>563000</v>
      </c>
      <c r="W39" s="7">
        <f t="shared" si="131"/>
        <v>444770</v>
      </c>
      <c r="X39" s="7">
        <f t="shared" si="29"/>
        <v>118230</v>
      </c>
      <c r="Y39" s="7">
        <v>0</v>
      </c>
      <c r="Z39" s="7">
        <f t="shared" si="30"/>
        <v>444770</v>
      </c>
      <c r="AA39" s="148" t="str">
        <f t="shared" si="31"/>
        <v>80%</v>
      </c>
      <c r="AB39" s="148">
        <f t="shared" si="32"/>
        <v>0.19999999999999996</v>
      </c>
      <c r="AC39" s="25"/>
      <c r="AD39" s="25"/>
      <c r="AE39" s="25"/>
      <c r="AF39" s="8"/>
      <c r="AG39" s="59" t="str">
        <f t="shared" ca="1" si="34"/>
        <v>NA</v>
      </c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59" t="str">
        <f t="shared" si="90"/>
        <v>NA</v>
      </c>
      <c r="AS39" s="59" t="str">
        <f t="shared" si="91"/>
        <v/>
      </c>
      <c r="AT39" s="59"/>
      <c r="AU39" s="59" t="str">
        <f t="shared" si="1"/>
        <v>ND</v>
      </c>
      <c r="AV39" s="66"/>
      <c r="AW39" s="66"/>
      <c r="AX39" s="66"/>
      <c r="AY39" s="66"/>
      <c r="AZ39" s="8"/>
      <c r="BA39" s="8" t="s">
        <v>37</v>
      </c>
      <c r="BB39" s="8"/>
      <c r="BC39" s="8"/>
      <c r="BD39" s="8"/>
      <c r="BE39" s="8"/>
      <c r="BF39" s="8"/>
      <c r="BG39" s="8"/>
      <c r="BH39" s="8"/>
      <c r="BI39" s="8"/>
      <c r="BJ39" s="8"/>
      <c r="BK39" s="59"/>
      <c r="BL39" s="59"/>
      <c r="BM39" s="59"/>
      <c r="BN39" s="164">
        <v>0.01</v>
      </c>
      <c r="BO39" s="165">
        <f t="shared" si="37"/>
        <v>3753.3333333333335</v>
      </c>
      <c r="BP39" s="165">
        <f t="shared" ref="BP39:BQ39" si="133">BO39</f>
        <v>3753.3333333333335</v>
      </c>
      <c r="BQ39" s="165">
        <f t="shared" si="133"/>
        <v>3753.3333333333335</v>
      </c>
      <c r="BR39" s="59"/>
      <c r="BS39" s="59"/>
      <c r="BT39" s="59"/>
      <c r="BU39" s="59"/>
      <c r="BV39" s="59" t="str">
        <f t="shared" si="83"/>
        <v>ND</v>
      </c>
      <c r="BW39" s="59" t="str">
        <f t="shared" si="84"/>
        <v>ND</v>
      </c>
      <c r="BX39" s="59" t="str">
        <f t="shared" si="85"/>
        <v>ND</v>
      </c>
      <c r="BY39" s="59" t="str">
        <f t="shared" si="86"/>
        <v>ND</v>
      </c>
      <c r="BZ39" s="59" t="str">
        <f t="shared" si="3"/>
        <v>NA</v>
      </c>
      <c r="CA39" s="59" t="str">
        <f t="shared" si="4"/>
        <v/>
      </c>
      <c r="CB39" s="59" t="str">
        <f t="shared" si="5"/>
        <v>NA</v>
      </c>
      <c r="CC39" s="59" t="str">
        <f t="shared" si="6"/>
        <v/>
      </c>
      <c r="CD39" s="59" t="str">
        <f t="shared" si="7"/>
        <v>NA</v>
      </c>
      <c r="CE39" s="59" t="str">
        <f t="shared" si="8"/>
        <v/>
      </c>
      <c r="CF39" s="59" t="str">
        <f t="shared" si="9"/>
        <v>NA</v>
      </c>
      <c r="CG39" s="59" t="str">
        <f t="shared" ca="1" si="10"/>
        <v>NA</v>
      </c>
      <c r="CH39" s="59" t="str">
        <f t="shared" ca="1" si="11"/>
        <v>NA</v>
      </c>
      <c r="CI39" s="59" t="str">
        <f t="shared" ca="1" si="12"/>
        <v>ND</v>
      </c>
      <c r="CJ39" s="59" t="str">
        <f t="shared" ca="1" si="13"/>
        <v>ND</v>
      </c>
      <c r="CK39" s="59" t="str">
        <f t="shared" ca="1" si="14"/>
        <v>ND</v>
      </c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>
        <f t="shared" si="43"/>
        <v>0</v>
      </c>
      <c r="DH39" s="8">
        <f t="shared" si="79"/>
        <v>0</v>
      </c>
      <c r="DI39" s="8">
        <f t="shared" si="44"/>
        <v>0</v>
      </c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59" t="str">
        <f t="shared" si="45"/>
        <v>NA</v>
      </c>
      <c r="DU39" s="59" t="str">
        <f t="shared" si="46"/>
        <v>NA</v>
      </c>
      <c r="DV39" s="59" t="str">
        <f t="shared" si="47"/>
        <v>NA</v>
      </c>
      <c r="DW39" s="59" t="str">
        <f t="shared" si="48"/>
        <v>NA</v>
      </c>
      <c r="DX39" s="59" t="str">
        <f t="shared" si="49"/>
        <v>NA</v>
      </c>
      <c r="DY39" s="59" t="str">
        <f t="shared" si="50"/>
        <v>NA</v>
      </c>
      <c r="DZ39" s="59" t="str">
        <f t="shared" si="51"/>
        <v>NA</v>
      </c>
      <c r="EA39" s="59" t="str">
        <f t="shared" si="52"/>
        <v>NA</v>
      </c>
      <c r="EB39" s="59" t="str">
        <f t="shared" si="53"/>
        <v>NA</v>
      </c>
      <c r="EC39" s="59" t="str">
        <f t="shared" si="54"/>
        <v>NA</v>
      </c>
      <c r="ED39" s="59" t="str">
        <f t="shared" si="55"/>
        <v/>
      </c>
      <c r="EE39" s="59" t="str">
        <f t="shared" si="56"/>
        <v/>
      </c>
      <c r="EF39" s="59" t="str">
        <f t="shared" si="57"/>
        <v/>
      </c>
      <c r="EG39" s="59" t="str">
        <f t="shared" si="58"/>
        <v/>
      </c>
      <c r="EH39" s="59" t="str">
        <f t="shared" si="59"/>
        <v/>
      </c>
      <c r="EI39" s="59" t="str">
        <f t="shared" si="60"/>
        <v/>
      </c>
      <c r="EJ39" s="59" t="str">
        <f t="shared" si="61"/>
        <v/>
      </c>
      <c r="EK39" s="59" t="str">
        <f t="shared" si="62"/>
        <v/>
      </c>
      <c r="EL39" s="59" t="str">
        <f t="shared" si="63"/>
        <v/>
      </c>
      <c r="EM39" s="59" t="str">
        <f t="shared" si="64"/>
        <v/>
      </c>
      <c r="EN39" s="59" t="str">
        <f t="shared" si="65"/>
        <v/>
      </c>
      <c r="EO39" s="59" t="str">
        <f t="shared" si="66"/>
        <v/>
      </c>
      <c r="EP39" s="59" t="str">
        <f t="shared" si="67"/>
        <v/>
      </c>
      <c r="EQ39" s="59" t="str">
        <f t="shared" si="68"/>
        <v/>
      </c>
      <c r="ER39" s="59" t="str">
        <f t="shared" si="69"/>
        <v/>
      </c>
      <c r="ES39" s="59" t="str">
        <f t="shared" si="70"/>
        <v/>
      </c>
      <c r="ET39" s="59" t="str">
        <f t="shared" si="71"/>
        <v/>
      </c>
      <c r="EU39" s="59" t="str">
        <f t="shared" si="72"/>
        <v/>
      </c>
      <c r="EV39" s="59" t="str">
        <f t="shared" si="73"/>
        <v/>
      </c>
      <c r="EW39" s="59" t="str">
        <f t="shared" si="74"/>
        <v/>
      </c>
      <c r="EX39" s="56">
        <f t="shared" si="26"/>
        <v>1126000</v>
      </c>
    </row>
    <row r="40" spans="1:154" x14ac:dyDescent="0.25">
      <c r="A40" s="2">
        <f t="shared" si="75"/>
        <v>39</v>
      </c>
      <c r="B40" s="2" t="s">
        <v>6</v>
      </c>
      <c r="C40" s="2" t="str">
        <f t="shared" si="27"/>
        <v>020405</v>
      </c>
      <c r="D40" s="2">
        <v>2</v>
      </c>
      <c r="E40" s="2">
        <v>4</v>
      </c>
      <c r="F40" s="2">
        <v>5</v>
      </c>
      <c r="G40" s="11" t="s">
        <v>12</v>
      </c>
      <c r="H40" s="4"/>
      <c r="I40" s="42" t="s">
        <v>58</v>
      </c>
      <c r="J40" s="9">
        <v>80</v>
      </c>
      <c r="K40" s="5"/>
      <c r="L40" s="6" t="s">
        <v>306</v>
      </c>
      <c r="M40" s="24" t="s">
        <v>178</v>
      </c>
      <c r="N40" s="7">
        <f t="shared" si="76"/>
        <v>1126000</v>
      </c>
      <c r="O40" s="8">
        <v>78</v>
      </c>
      <c r="P40" s="25">
        <v>41243</v>
      </c>
      <c r="Q40" s="8" t="str">
        <f t="shared" si="28"/>
        <v>2DA-NOV</v>
      </c>
      <c r="R40" s="26">
        <v>0</v>
      </c>
      <c r="S40" s="41" t="s">
        <v>34</v>
      </c>
      <c r="T40" s="8" t="s">
        <v>353</v>
      </c>
      <c r="U40" s="8"/>
      <c r="V40" s="7">
        <v>563000</v>
      </c>
      <c r="W40" s="7">
        <f t="shared" si="131"/>
        <v>444770</v>
      </c>
      <c r="X40" s="7">
        <f t="shared" si="29"/>
        <v>118230</v>
      </c>
      <c r="Y40" s="7">
        <v>0</v>
      </c>
      <c r="Z40" s="7">
        <f t="shared" si="30"/>
        <v>444770</v>
      </c>
      <c r="AA40" s="148" t="str">
        <f t="shared" si="31"/>
        <v>80%</v>
      </c>
      <c r="AB40" s="148">
        <f t="shared" si="32"/>
        <v>0.19999999999999996</v>
      </c>
      <c r="AC40" s="25"/>
      <c r="AD40" s="25"/>
      <c r="AE40" s="25"/>
      <c r="AF40" s="8"/>
      <c r="AG40" s="59" t="str">
        <f t="shared" ca="1" si="34"/>
        <v>NA</v>
      </c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59" t="str">
        <f t="shared" si="90"/>
        <v>NA</v>
      </c>
      <c r="AS40" s="59" t="str">
        <f t="shared" si="91"/>
        <v/>
      </c>
      <c r="AT40" s="59"/>
      <c r="AU40" s="59" t="str">
        <f t="shared" si="1"/>
        <v>ND</v>
      </c>
      <c r="AV40" s="66"/>
      <c r="AW40" s="66"/>
      <c r="AX40" s="66"/>
      <c r="AY40" s="66"/>
      <c r="AZ40" s="8"/>
      <c r="BA40" s="8" t="s">
        <v>37</v>
      </c>
      <c r="BB40" s="8"/>
      <c r="BC40" s="8"/>
      <c r="BD40" s="8"/>
      <c r="BE40" s="8"/>
      <c r="BF40" s="8"/>
      <c r="BG40" s="8"/>
      <c r="BH40" s="8"/>
      <c r="BI40" s="8"/>
      <c r="BJ40" s="8"/>
      <c r="BK40" s="59"/>
      <c r="BL40" s="59"/>
      <c r="BM40" s="59"/>
      <c r="BN40" s="164">
        <v>0.01</v>
      </c>
      <c r="BO40" s="165">
        <f t="shared" si="37"/>
        <v>3753.3333333333335</v>
      </c>
      <c r="BP40" s="165">
        <f t="shared" ref="BP40:BQ40" si="134">BO40</f>
        <v>3753.3333333333335</v>
      </c>
      <c r="BQ40" s="165">
        <f t="shared" si="134"/>
        <v>3753.3333333333335</v>
      </c>
      <c r="BR40" s="59"/>
      <c r="BS40" s="59"/>
      <c r="BT40" s="59"/>
      <c r="BU40" s="59"/>
      <c r="BV40" s="59" t="str">
        <f t="shared" si="83"/>
        <v>ND</v>
      </c>
      <c r="BW40" s="59" t="str">
        <f t="shared" si="84"/>
        <v>ND</v>
      </c>
      <c r="BX40" s="59" t="str">
        <f t="shared" si="85"/>
        <v>ND</v>
      </c>
      <c r="BY40" s="59" t="str">
        <f t="shared" si="86"/>
        <v>ND</v>
      </c>
      <c r="BZ40" s="59" t="str">
        <f t="shared" si="3"/>
        <v>NA</v>
      </c>
      <c r="CA40" s="59" t="str">
        <f t="shared" si="4"/>
        <v/>
      </c>
      <c r="CB40" s="59" t="str">
        <f t="shared" si="5"/>
        <v>NA</v>
      </c>
      <c r="CC40" s="59" t="str">
        <f t="shared" si="6"/>
        <v/>
      </c>
      <c r="CD40" s="59" t="str">
        <f t="shared" si="7"/>
        <v>NA</v>
      </c>
      <c r="CE40" s="59" t="str">
        <f t="shared" si="8"/>
        <v/>
      </c>
      <c r="CF40" s="59" t="str">
        <f t="shared" si="9"/>
        <v>NA</v>
      </c>
      <c r="CG40" s="59" t="str">
        <f t="shared" ca="1" si="10"/>
        <v>NA</v>
      </c>
      <c r="CH40" s="59" t="str">
        <f t="shared" ca="1" si="11"/>
        <v>NA</v>
      </c>
      <c r="CI40" s="59" t="str">
        <f t="shared" ca="1" si="12"/>
        <v>ND</v>
      </c>
      <c r="CJ40" s="59" t="str">
        <f t="shared" ca="1" si="13"/>
        <v>ND</v>
      </c>
      <c r="CK40" s="59" t="str">
        <f t="shared" ca="1" si="14"/>
        <v>ND</v>
      </c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>
        <f t="shared" si="43"/>
        <v>0</v>
      </c>
      <c r="DH40" s="8">
        <f t="shared" si="79"/>
        <v>0</v>
      </c>
      <c r="DI40" s="8">
        <f t="shared" si="44"/>
        <v>0</v>
      </c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59" t="str">
        <f t="shared" si="45"/>
        <v>NA</v>
      </c>
      <c r="DU40" s="59" t="str">
        <f t="shared" si="46"/>
        <v>NA</v>
      </c>
      <c r="DV40" s="59" t="str">
        <f t="shared" si="47"/>
        <v>NA</v>
      </c>
      <c r="DW40" s="59" t="str">
        <f t="shared" si="48"/>
        <v>NA</v>
      </c>
      <c r="DX40" s="59" t="str">
        <f t="shared" si="49"/>
        <v>NA</v>
      </c>
      <c r="DY40" s="59" t="str">
        <f t="shared" si="50"/>
        <v>NA</v>
      </c>
      <c r="DZ40" s="59" t="str">
        <f t="shared" si="51"/>
        <v>NA</v>
      </c>
      <c r="EA40" s="59" t="str">
        <f t="shared" si="52"/>
        <v>NA</v>
      </c>
      <c r="EB40" s="59" t="str">
        <f t="shared" si="53"/>
        <v>NA</v>
      </c>
      <c r="EC40" s="59" t="str">
        <f t="shared" si="54"/>
        <v>NA</v>
      </c>
      <c r="ED40" s="59" t="str">
        <f t="shared" si="55"/>
        <v/>
      </c>
      <c r="EE40" s="59" t="str">
        <f t="shared" si="56"/>
        <v/>
      </c>
      <c r="EF40" s="59" t="str">
        <f t="shared" si="57"/>
        <v/>
      </c>
      <c r="EG40" s="59" t="str">
        <f t="shared" si="58"/>
        <v/>
      </c>
      <c r="EH40" s="59" t="str">
        <f t="shared" si="59"/>
        <v/>
      </c>
      <c r="EI40" s="59" t="str">
        <f t="shared" si="60"/>
        <v/>
      </c>
      <c r="EJ40" s="59" t="str">
        <f t="shared" si="61"/>
        <v/>
      </c>
      <c r="EK40" s="59" t="str">
        <f t="shared" si="62"/>
        <v/>
      </c>
      <c r="EL40" s="59" t="str">
        <f t="shared" si="63"/>
        <v/>
      </c>
      <c r="EM40" s="59" t="str">
        <f t="shared" si="64"/>
        <v/>
      </c>
      <c r="EN40" s="59" t="str">
        <f t="shared" si="65"/>
        <v/>
      </c>
      <c r="EO40" s="59" t="str">
        <f t="shared" si="66"/>
        <v/>
      </c>
      <c r="EP40" s="59" t="str">
        <f t="shared" si="67"/>
        <v/>
      </c>
      <c r="EQ40" s="59" t="str">
        <f t="shared" si="68"/>
        <v/>
      </c>
      <c r="ER40" s="59" t="str">
        <f t="shared" si="69"/>
        <v/>
      </c>
      <c r="ES40" s="59" t="str">
        <f t="shared" si="70"/>
        <v/>
      </c>
      <c r="ET40" s="59" t="str">
        <f t="shared" si="71"/>
        <v/>
      </c>
      <c r="EU40" s="59" t="str">
        <f t="shared" si="72"/>
        <v/>
      </c>
      <c r="EV40" s="59" t="str">
        <f t="shared" si="73"/>
        <v/>
      </c>
      <c r="EW40" s="59" t="str">
        <f t="shared" si="74"/>
        <v/>
      </c>
      <c r="EX40" s="56">
        <f t="shared" si="26"/>
        <v>1126000</v>
      </c>
    </row>
    <row r="41" spans="1:154" x14ac:dyDescent="0.25">
      <c r="A41" s="2">
        <f t="shared" si="75"/>
        <v>40</v>
      </c>
      <c r="B41" s="2" t="s">
        <v>6</v>
      </c>
      <c r="C41" s="2" t="str">
        <f t="shared" si="27"/>
        <v>020406</v>
      </c>
      <c r="D41" s="2">
        <v>2</v>
      </c>
      <c r="E41" s="2">
        <v>4</v>
      </c>
      <c r="F41" s="2">
        <v>6</v>
      </c>
      <c r="G41" s="11" t="s">
        <v>12</v>
      </c>
      <c r="H41" s="4"/>
      <c r="I41" s="42" t="s">
        <v>58</v>
      </c>
      <c r="J41" s="9">
        <v>80</v>
      </c>
      <c r="K41" s="9"/>
      <c r="L41" s="10" t="s">
        <v>8</v>
      </c>
      <c r="M41" s="24" t="s">
        <v>178</v>
      </c>
      <c r="N41" s="7">
        <f t="shared" si="76"/>
        <v>1135000</v>
      </c>
      <c r="O41" s="8">
        <v>79</v>
      </c>
      <c r="P41" s="25">
        <v>41243</v>
      </c>
      <c r="Q41" s="8" t="str">
        <f t="shared" si="28"/>
        <v>2DA-NOV</v>
      </c>
      <c r="R41" s="26">
        <v>0</v>
      </c>
      <c r="S41" s="41" t="s">
        <v>34</v>
      </c>
      <c r="T41" s="8" t="s">
        <v>353</v>
      </c>
      <c r="U41" s="8"/>
      <c r="V41" s="7">
        <v>567500</v>
      </c>
      <c r="W41" s="7">
        <f t="shared" si="131"/>
        <v>448325</v>
      </c>
      <c r="X41" s="7">
        <f t="shared" si="29"/>
        <v>119175</v>
      </c>
      <c r="Y41" s="7">
        <v>0</v>
      </c>
      <c r="Z41" s="7">
        <f t="shared" si="30"/>
        <v>448325</v>
      </c>
      <c r="AA41" s="148" t="str">
        <f t="shared" si="31"/>
        <v>80%</v>
      </c>
      <c r="AB41" s="148">
        <f t="shared" si="32"/>
        <v>0.19999999999999996</v>
      </c>
      <c r="AC41" s="25"/>
      <c r="AD41" s="25"/>
      <c r="AE41" s="25"/>
      <c r="AF41" s="8"/>
      <c r="AG41" s="59" t="str">
        <f t="shared" ca="1" si="34"/>
        <v>NA</v>
      </c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59" t="str">
        <f t="shared" si="90"/>
        <v>NA</v>
      </c>
      <c r="AS41" s="59" t="str">
        <f t="shared" si="91"/>
        <v/>
      </c>
      <c r="AT41" s="59"/>
      <c r="AU41" s="59" t="str">
        <f t="shared" si="1"/>
        <v>ND</v>
      </c>
      <c r="AV41" s="66"/>
      <c r="AW41" s="66"/>
      <c r="AX41" s="66"/>
      <c r="AY41" s="66"/>
      <c r="AZ41" s="8"/>
      <c r="BA41" s="8" t="s">
        <v>37</v>
      </c>
      <c r="BB41" s="8"/>
      <c r="BC41" s="8"/>
      <c r="BD41" s="8"/>
      <c r="BE41" s="8"/>
      <c r="BF41" s="8"/>
      <c r="BG41" s="8"/>
      <c r="BH41" s="8"/>
      <c r="BI41" s="8"/>
      <c r="BJ41" s="8"/>
      <c r="BK41" s="59"/>
      <c r="BL41" s="59"/>
      <c r="BM41" s="59"/>
      <c r="BN41" s="164">
        <v>0.01</v>
      </c>
      <c r="BO41" s="165">
        <f t="shared" si="37"/>
        <v>3783.3333333333335</v>
      </c>
      <c r="BP41" s="165">
        <f t="shared" ref="BP41:BQ41" si="135">BO41</f>
        <v>3783.3333333333335</v>
      </c>
      <c r="BQ41" s="165">
        <f t="shared" si="135"/>
        <v>3783.3333333333335</v>
      </c>
      <c r="BR41" s="59"/>
      <c r="BS41" s="59"/>
      <c r="BT41" s="59"/>
      <c r="BU41" s="59"/>
      <c r="BV41" s="59" t="str">
        <f t="shared" si="83"/>
        <v>ND</v>
      </c>
      <c r="BW41" s="59" t="str">
        <f t="shared" si="84"/>
        <v>ND</v>
      </c>
      <c r="BX41" s="59" t="str">
        <f t="shared" si="85"/>
        <v>ND</v>
      </c>
      <c r="BY41" s="59" t="str">
        <f t="shared" si="86"/>
        <v>ND</v>
      </c>
      <c r="BZ41" s="59" t="str">
        <f t="shared" si="3"/>
        <v>NA</v>
      </c>
      <c r="CA41" s="59" t="str">
        <f t="shared" si="4"/>
        <v/>
      </c>
      <c r="CB41" s="59" t="str">
        <f t="shared" si="5"/>
        <v>NA</v>
      </c>
      <c r="CC41" s="59" t="str">
        <f t="shared" si="6"/>
        <v/>
      </c>
      <c r="CD41" s="59" t="str">
        <f t="shared" si="7"/>
        <v>NA</v>
      </c>
      <c r="CE41" s="59" t="str">
        <f t="shared" si="8"/>
        <v/>
      </c>
      <c r="CF41" s="59" t="str">
        <f t="shared" si="9"/>
        <v>NA</v>
      </c>
      <c r="CG41" s="59" t="str">
        <f t="shared" ca="1" si="10"/>
        <v>NA</v>
      </c>
      <c r="CH41" s="59" t="str">
        <f t="shared" ca="1" si="11"/>
        <v>NA</v>
      </c>
      <c r="CI41" s="59" t="str">
        <f t="shared" ca="1" si="12"/>
        <v>ND</v>
      </c>
      <c r="CJ41" s="59" t="str">
        <f t="shared" ca="1" si="13"/>
        <v>ND</v>
      </c>
      <c r="CK41" s="59" t="str">
        <f t="shared" ca="1" si="14"/>
        <v>ND</v>
      </c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>
        <f t="shared" si="43"/>
        <v>0</v>
      </c>
      <c r="DH41" s="8">
        <f t="shared" si="79"/>
        <v>0</v>
      </c>
      <c r="DI41" s="8">
        <f t="shared" si="44"/>
        <v>0</v>
      </c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59" t="str">
        <f t="shared" si="45"/>
        <v>NA</v>
      </c>
      <c r="DU41" s="59" t="str">
        <f t="shared" si="46"/>
        <v>NA</v>
      </c>
      <c r="DV41" s="59" t="str">
        <f t="shared" si="47"/>
        <v>NA</v>
      </c>
      <c r="DW41" s="59" t="str">
        <f t="shared" si="48"/>
        <v>NA</v>
      </c>
      <c r="DX41" s="59" t="str">
        <f t="shared" si="49"/>
        <v>NA</v>
      </c>
      <c r="DY41" s="59" t="str">
        <f t="shared" si="50"/>
        <v>NA</v>
      </c>
      <c r="DZ41" s="59" t="str">
        <f t="shared" si="51"/>
        <v>NA</v>
      </c>
      <c r="EA41" s="59" t="str">
        <f t="shared" si="52"/>
        <v>NA</v>
      </c>
      <c r="EB41" s="59" t="str">
        <f t="shared" si="53"/>
        <v>NA</v>
      </c>
      <c r="EC41" s="59" t="str">
        <f t="shared" si="54"/>
        <v>NA</v>
      </c>
      <c r="ED41" s="59" t="str">
        <f t="shared" si="55"/>
        <v/>
      </c>
      <c r="EE41" s="59" t="str">
        <f t="shared" si="56"/>
        <v/>
      </c>
      <c r="EF41" s="59" t="str">
        <f t="shared" si="57"/>
        <v/>
      </c>
      <c r="EG41" s="59" t="str">
        <f t="shared" si="58"/>
        <v/>
      </c>
      <c r="EH41" s="59" t="str">
        <f t="shared" si="59"/>
        <v/>
      </c>
      <c r="EI41" s="59" t="str">
        <f t="shared" si="60"/>
        <v/>
      </c>
      <c r="EJ41" s="59" t="str">
        <f t="shared" si="61"/>
        <v/>
      </c>
      <c r="EK41" s="59" t="str">
        <f t="shared" si="62"/>
        <v/>
      </c>
      <c r="EL41" s="59" t="str">
        <f t="shared" si="63"/>
        <v/>
      </c>
      <c r="EM41" s="59" t="str">
        <f t="shared" si="64"/>
        <v/>
      </c>
      <c r="EN41" s="59" t="str">
        <f t="shared" si="65"/>
        <v/>
      </c>
      <c r="EO41" s="59" t="str">
        <f t="shared" si="66"/>
        <v/>
      </c>
      <c r="EP41" s="59" t="str">
        <f t="shared" si="67"/>
        <v/>
      </c>
      <c r="EQ41" s="59" t="str">
        <f t="shared" si="68"/>
        <v/>
      </c>
      <c r="ER41" s="59" t="str">
        <f t="shared" si="69"/>
        <v/>
      </c>
      <c r="ES41" s="59" t="str">
        <f t="shared" si="70"/>
        <v/>
      </c>
      <c r="ET41" s="59" t="str">
        <f t="shared" si="71"/>
        <v/>
      </c>
      <c r="EU41" s="59" t="str">
        <f t="shared" si="72"/>
        <v/>
      </c>
      <c r="EV41" s="59" t="str">
        <f t="shared" si="73"/>
        <v/>
      </c>
      <c r="EW41" s="59" t="str">
        <f t="shared" si="74"/>
        <v/>
      </c>
      <c r="EX41" s="56">
        <f t="shared" si="26"/>
        <v>1135000</v>
      </c>
    </row>
    <row r="42" spans="1:154" x14ac:dyDescent="0.25">
      <c r="A42" s="2">
        <f t="shared" si="75"/>
        <v>41</v>
      </c>
      <c r="B42" s="2" t="s">
        <v>6</v>
      </c>
      <c r="C42" s="2" t="str">
        <f t="shared" si="27"/>
        <v>020407</v>
      </c>
      <c r="D42" s="2">
        <v>2</v>
      </c>
      <c r="E42" s="2">
        <v>4</v>
      </c>
      <c r="F42" s="2">
        <v>7</v>
      </c>
      <c r="G42" s="11" t="s">
        <v>12</v>
      </c>
      <c r="H42" s="4"/>
      <c r="I42" s="42" t="s">
        <v>58</v>
      </c>
      <c r="J42" s="9">
        <v>80</v>
      </c>
      <c r="K42" s="5"/>
      <c r="L42" s="6" t="s">
        <v>306</v>
      </c>
      <c r="M42" s="24" t="s">
        <v>178</v>
      </c>
      <c r="N42" s="7">
        <f t="shared" si="76"/>
        <v>1126000</v>
      </c>
      <c r="O42" s="8">
        <v>80</v>
      </c>
      <c r="P42" s="25">
        <v>41243</v>
      </c>
      <c r="Q42" s="8" t="str">
        <f t="shared" si="28"/>
        <v>2DA-NOV</v>
      </c>
      <c r="R42" s="26">
        <v>0</v>
      </c>
      <c r="S42" s="41" t="s">
        <v>34</v>
      </c>
      <c r="T42" s="8" t="s">
        <v>353</v>
      </c>
      <c r="U42" s="8"/>
      <c r="V42" s="7">
        <v>563000</v>
      </c>
      <c r="W42" s="7">
        <f t="shared" si="131"/>
        <v>444770</v>
      </c>
      <c r="X42" s="7">
        <f t="shared" si="29"/>
        <v>118230</v>
      </c>
      <c r="Y42" s="7">
        <v>0</v>
      </c>
      <c r="Z42" s="7">
        <f t="shared" si="30"/>
        <v>444770</v>
      </c>
      <c r="AA42" s="148" t="str">
        <f t="shared" si="31"/>
        <v>80%</v>
      </c>
      <c r="AB42" s="148">
        <f t="shared" si="32"/>
        <v>0.19999999999999996</v>
      </c>
      <c r="AC42" s="25"/>
      <c r="AD42" s="25"/>
      <c r="AE42" s="25"/>
      <c r="AF42" s="8"/>
      <c r="AG42" s="59" t="str">
        <f t="shared" ca="1" si="34"/>
        <v>NA</v>
      </c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59" t="str">
        <f t="shared" si="90"/>
        <v>NA</v>
      </c>
      <c r="AS42" s="59" t="str">
        <f t="shared" si="91"/>
        <v/>
      </c>
      <c r="AT42" s="59"/>
      <c r="AU42" s="59" t="str">
        <f t="shared" si="1"/>
        <v>ND</v>
      </c>
      <c r="AV42" s="66"/>
      <c r="AW42" s="66"/>
      <c r="AX42" s="66"/>
      <c r="AY42" s="66"/>
      <c r="AZ42" s="8"/>
      <c r="BA42" s="8" t="s">
        <v>37</v>
      </c>
      <c r="BB42" s="8"/>
      <c r="BC42" s="8"/>
      <c r="BD42" s="8"/>
      <c r="BE42" s="8"/>
      <c r="BF42" s="8"/>
      <c r="BG42" s="8"/>
      <c r="BH42" s="8"/>
      <c r="BI42" s="8"/>
      <c r="BJ42" s="8"/>
      <c r="BK42" s="59"/>
      <c r="BL42" s="59"/>
      <c r="BM42" s="59"/>
      <c r="BN42" s="164">
        <v>0.01</v>
      </c>
      <c r="BO42" s="165">
        <f t="shared" si="37"/>
        <v>3753.3333333333335</v>
      </c>
      <c r="BP42" s="165">
        <f t="shared" ref="BP42:BQ42" si="136">BO42</f>
        <v>3753.3333333333335</v>
      </c>
      <c r="BQ42" s="165">
        <f t="shared" si="136"/>
        <v>3753.3333333333335</v>
      </c>
      <c r="BR42" s="59"/>
      <c r="BS42" s="59"/>
      <c r="BT42" s="59"/>
      <c r="BU42" s="59"/>
      <c r="BV42" s="59" t="str">
        <f t="shared" si="83"/>
        <v>ND</v>
      </c>
      <c r="BW42" s="59" t="str">
        <f t="shared" si="84"/>
        <v>ND</v>
      </c>
      <c r="BX42" s="59" t="str">
        <f t="shared" si="85"/>
        <v>ND</v>
      </c>
      <c r="BY42" s="59" t="str">
        <f t="shared" si="86"/>
        <v>ND</v>
      </c>
      <c r="BZ42" s="59" t="str">
        <f t="shared" si="3"/>
        <v>NA</v>
      </c>
      <c r="CA42" s="59" t="str">
        <f t="shared" si="4"/>
        <v/>
      </c>
      <c r="CB42" s="59" t="str">
        <f t="shared" si="5"/>
        <v>NA</v>
      </c>
      <c r="CC42" s="59" t="str">
        <f t="shared" si="6"/>
        <v/>
      </c>
      <c r="CD42" s="59" t="str">
        <f t="shared" si="7"/>
        <v>NA</v>
      </c>
      <c r="CE42" s="59" t="str">
        <f t="shared" si="8"/>
        <v/>
      </c>
      <c r="CF42" s="59" t="str">
        <f t="shared" si="9"/>
        <v>NA</v>
      </c>
      <c r="CG42" s="59" t="str">
        <f t="shared" ca="1" si="10"/>
        <v>NA</v>
      </c>
      <c r="CH42" s="59" t="str">
        <f t="shared" ca="1" si="11"/>
        <v>NA</v>
      </c>
      <c r="CI42" s="59" t="str">
        <f t="shared" ca="1" si="12"/>
        <v>ND</v>
      </c>
      <c r="CJ42" s="59" t="str">
        <f t="shared" ca="1" si="13"/>
        <v>ND</v>
      </c>
      <c r="CK42" s="59" t="str">
        <f t="shared" ca="1" si="14"/>
        <v>ND</v>
      </c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>
        <f t="shared" si="43"/>
        <v>0</v>
      </c>
      <c r="DH42" s="8">
        <f t="shared" si="79"/>
        <v>0</v>
      </c>
      <c r="DI42" s="8">
        <f t="shared" si="44"/>
        <v>0</v>
      </c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59" t="str">
        <f t="shared" si="45"/>
        <v>NA</v>
      </c>
      <c r="DU42" s="59" t="str">
        <f t="shared" si="46"/>
        <v>NA</v>
      </c>
      <c r="DV42" s="59" t="str">
        <f t="shared" si="47"/>
        <v>NA</v>
      </c>
      <c r="DW42" s="59" t="str">
        <f t="shared" si="48"/>
        <v>NA</v>
      </c>
      <c r="DX42" s="59" t="str">
        <f t="shared" si="49"/>
        <v>NA</v>
      </c>
      <c r="DY42" s="59" t="str">
        <f t="shared" si="50"/>
        <v>NA</v>
      </c>
      <c r="DZ42" s="59" t="str">
        <f t="shared" si="51"/>
        <v>NA</v>
      </c>
      <c r="EA42" s="59" t="str">
        <f t="shared" si="52"/>
        <v>NA</v>
      </c>
      <c r="EB42" s="59" t="str">
        <f t="shared" si="53"/>
        <v>NA</v>
      </c>
      <c r="EC42" s="59" t="str">
        <f t="shared" si="54"/>
        <v>NA</v>
      </c>
      <c r="ED42" s="59" t="str">
        <f t="shared" si="55"/>
        <v/>
      </c>
      <c r="EE42" s="59" t="str">
        <f t="shared" si="56"/>
        <v/>
      </c>
      <c r="EF42" s="59" t="str">
        <f t="shared" si="57"/>
        <v/>
      </c>
      <c r="EG42" s="59" t="str">
        <f t="shared" si="58"/>
        <v/>
      </c>
      <c r="EH42" s="59" t="str">
        <f t="shared" si="59"/>
        <v/>
      </c>
      <c r="EI42" s="59" t="str">
        <f t="shared" si="60"/>
        <v/>
      </c>
      <c r="EJ42" s="59" t="str">
        <f t="shared" si="61"/>
        <v/>
      </c>
      <c r="EK42" s="59" t="str">
        <f t="shared" si="62"/>
        <v/>
      </c>
      <c r="EL42" s="59" t="str">
        <f t="shared" si="63"/>
        <v/>
      </c>
      <c r="EM42" s="59" t="str">
        <f t="shared" si="64"/>
        <v/>
      </c>
      <c r="EN42" s="59" t="str">
        <f t="shared" si="65"/>
        <v/>
      </c>
      <c r="EO42" s="59" t="str">
        <f t="shared" si="66"/>
        <v/>
      </c>
      <c r="EP42" s="59" t="str">
        <f t="shared" si="67"/>
        <v/>
      </c>
      <c r="EQ42" s="59" t="str">
        <f t="shared" si="68"/>
        <v/>
      </c>
      <c r="ER42" s="59" t="str">
        <f t="shared" si="69"/>
        <v/>
      </c>
      <c r="ES42" s="59" t="str">
        <f t="shared" si="70"/>
        <v/>
      </c>
      <c r="ET42" s="59" t="str">
        <f t="shared" si="71"/>
        <v/>
      </c>
      <c r="EU42" s="59" t="str">
        <f t="shared" si="72"/>
        <v/>
      </c>
      <c r="EV42" s="59" t="str">
        <f t="shared" si="73"/>
        <v/>
      </c>
      <c r="EW42" s="59" t="str">
        <f t="shared" si="74"/>
        <v/>
      </c>
      <c r="EX42" s="56">
        <f t="shared" si="26"/>
        <v>1126000</v>
      </c>
    </row>
    <row r="43" spans="1:154" x14ac:dyDescent="0.25">
      <c r="A43" s="2">
        <f t="shared" si="75"/>
        <v>42</v>
      </c>
      <c r="B43" s="2" t="s">
        <v>6</v>
      </c>
      <c r="C43" s="2" t="str">
        <f t="shared" si="27"/>
        <v>020408</v>
      </c>
      <c r="D43" s="2">
        <v>2</v>
      </c>
      <c r="E43" s="2">
        <v>4</v>
      </c>
      <c r="F43" s="2">
        <v>8</v>
      </c>
      <c r="G43" s="11" t="s">
        <v>12</v>
      </c>
      <c r="H43" s="4"/>
      <c r="I43" s="42" t="s">
        <v>58</v>
      </c>
      <c r="J43" s="9">
        <v>80</v>
      </c>
      <c r="K43" s="9"/>
      <c r="L43" s="10" t="s">
        <v>8</v>
      </c>
      <c r="M43" s="24" t="s">
        <v>178</v>
      </c>
      <c r="N43" s="7">
        <f t="shared" si="76"/>
        <v>1135000</v>
      </c>
      <c r="O43" s="8">
        <v>81</v>
      </c>
      <c r="P43" s="25">
        <v>41243</v>
      </c>
      <c r="Q43" s="8" t="str">
        <f t="shared" si="28"/>
        <v>2DA-NOV</v>
      </c>
      <c r="R43" s="26">
        <v>0</v>
      </c>
      <c r="S43" s="41" t="s">
        <v>34</v>
      </c>
      <c r="T43" s="8" t="s">
        <v>353</v>
      </c>
      <c r="U43" s="8"/>
      <c r="V43" s="7">
        <v>567500</v>
      </c>
      <c r="W43" s="7">
        <f t="shared" si="131"/>
        <v>448325</v>
      </c>
      <c r="X43" s="7">
        <f t="shared" si="29"/>
        <v>119175</v>
      </c>
      <c r="Y43" s="7">
        <v>0</v>
      </c>
      <c r="Z43" s="7">
        <f t="shared" si="30"/>
        <v>448325</v>
      </c>
      <c r="AA43" s="148" t="str">
        <f t="shared" si="31"/>
        <v>80%</v>
      </c>
      <c r="AB43" s="148">
        <f t="shared" si="32"/>
        <v>0.19999999999999996</v>
      </c>
      <c r="AC43" s="25"/>
      <c r="AD43" s="25"/>
      <c r="AE43" s="25"/>
      <c r="AF43" s="8"/>
      <c r="AG43" s="59" t="str">
        <f t="shared" ca="1" si="34"/>
        <v>NA</v>
      </c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59" t="str">
        <f t="shared" si="90"/>
        <v>NA</v>
      </c>
      <c r="AS43" s="59" t="str">
        <f t="shared" si="91"/>
        <v/>
      </c>
      <c r="AT43" s="59"/>
      <c r="AU43" s="59" t="str">
        <f t="shared" si="1"/>
        <v>ND</v>
      </c>
      <c r="AV43" s="66"/>
      <c r="AW43" s="66"/>
      <c r="AX43" s="66"/>
      <c r="AY43" s="66"/>
      <c r="AZ43" s="8"/>
      <c r="BA43" s="8" t="s">
        <v>37</v>
      </c>
      <c r="BB43" s="8"/>
      <c r="BC43" s="8"/>
      <c r="BD43" s="8"/>
      <c r="BE43" s="8"/>
      <c r="BF43" s="8"/>
      <c r="BG43" s="8"/>
      <c r="BH43" s="8"/>
      <c r="BI43" s="8"/>
      <c r="BJ43" s="8"/>
      <c r="BK43" s="59"/>
      <c r="BL43" s="59"/>
      <c r="BM43" s="59"/>
      <c r="BN43" s="164">
        <v>0.01</v>
      </c>
      <c r="BO43" s="165">
        <f t="shared" si="37"/>
        <v>3783.3333333333335</v>
      </c>
      <c r="BP43" s="165">
        <f t="shared" ref="BP43:BQ43" si="137">BO43</f>
        <v>3783.3333333333335</v>
      </c>
      <c r="BQ43" s="165">
        <f t="shared" si="137"/>
        <v>3783.3333333333335</v>
      </c>
      <c r="BR43" s="59"/>
      <c r="BS43" s="59"/>
      <c r="BT43" s="59"/>
      <c r="BU43" s="59"/>
      <c r="BV43" s="59" t="str">
        <f t="shared" si="83"/>
        <v>ND</v>
      </c>
      <c r="BW43" s="59" t="str">
        <f t="shared" si="84"/>
        <v>ND</v>
      </c>
      <c r="BX43" s="59" t="str">
        <f t="shared" si="85"/>
        <v>ND</v>
      </c>
      <c r="BY43" s="59" t="str">
        <f t="shared" si="86"/>
        <v>ND</v>
      </c>
      <c r="BZ43" s="59" t="str">
        <f t="shared" si="3"/>
        <v>NA</v>
      </c>
      <c r="CA43" s="59" t="str">
        <f t="shared" si="4"/>
        <v/>
      </c>
      <c r="CB43" s="59" t="str">
        <f t="shared" si="5"/>
        <v>NA</v>
      </c>
      <c r="CC43" s="59" t="str">
        <f t="shared" si="6"/>
        <v/>
      </c>
      <c r="CD43" s="59" t="str">
        <f t="shared" si="7"/>
        <v>NA</v>
      </c>
      <c r="CE43" s="59" t="str">
        <f t="shared" si="8"/>
        <v/>
      </c>
      <c r="CF43" s="59" t="str">
        <f t="shared" si="9"/>
        <v>NA</v>
      </c>
      <c r="CG43" s="59" t="str">
        <f t="shared" ca="1" si="10"/>
        <v>NA</v>
      </c>
      <c r="CH43" s="59" t="str">
        <f t="shared" ca="1" si="11"/>
        <v>NA</v>
      </c>
      <c r="CI43" s="59" t="str">
        <f t="shared" ca="1" si="12"/>
        <v>ND</v>
      </c>
      <c r="CJ43" s="59" t="str">
        <f t="shared" ca="1" si="13"/>
        <v>ND</v>
      </c>
      <c r="CK43" s="59" t="str">
        <f t="shared" ca="1" si="14"/>
        <v>ND</v>
      </c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>
        <f t="shared" si="43"/>
        <v>0</v>
      </c>
      <c r="DH43" s="8">
        <f t="shared" si="79"/>
        <v>0</v>
      </c>
      <c r="DI43" s="8">
        <f t="shared" si="44"/>
        <v>0</v>
      </c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59" t="str">
        <f t="shared" si="45"/>
        <v>NA</v>
      </c>
      <c r="DU43" s="59" t="str">
        <f t="shared" si="46"/>
        <v>NA</v>
      </c>
      <c r="DV43" s="59" t="str">
        <f t="shared" si="47"/>
        <v>NA</v>
      </c>
      <c r="DW43" s="59" t="str">
        <f t="shared" si="48"/>
        <v>NA</v>
      </c>
      <c r="DX43" s="59" t="str">
        <f t="shared" si="49"/>
        <v>NA</v>
      </c>
      <c r="DY43" s="59" t="str">
        <f t="shared" si="50"/>
        <v>NA</v>
      </c>
      <c r="DZ43" s="59" t="str">
        <f t="shared" si="51"/>
        <v>NA</v>
      </c>
      <c r="EA43" s="59" t="str">
        <f t="shared" si="52"/>
        <v>NA</v>
      </c>
      <c r="EB43" s="59" t="str">
        <f t="shared" si="53"/>
        <v>NA</v>
      </c>
      <c r="EC43" s="59" t="str">
        <f t="shared" si="54"/>
        <v>NA</v>
      </c>
      <c r="ED43" s="59" t="str">
        <f t="shared" si="55"/>
        <v/>
      </c>
      <c r="EE43" s="59" t="str">
        <f t="shared" si="56"/>
        <v/>
      </c>
      <c r="EF43" s="59" t="str">
        <f t="shared" si="57"/>
        <v/>
      </c>
      <c r="EG43" s="59" t="str">
        <f t="shared" si="58"/>
        <v/>
      </c>
      <c r="EH43" s="59" t="str">
        <f t="shared" si="59"/>
        <v/>
      </c>
      <c r="EI43" s="59" t="str">
        <f t="shared" si="60"/>
        <v/>
      </c>
      <c r="EJ43" s="59" t="str">
        <f t="shared" si="61"/>
        <v/>
      </c>
      <c r="EK43" s="59" t="str">
        <f t="shared" si="62"/>
        <v/>
      </c>
      <c r="EL43" s="59" t="str">
        <f t="shared" si="63"/>
        <v/>
      </c>
      <c r="EM43" s="59" t="str">
        <f t="shared" si="64"/>
        <v/>
      </c>
      <c r="EN43" s="59" t="str">
        <f t="shared" si="65"/>
        <v/>
      </c>
      <c r="EO43" s="59" t="str">
        <f t="shared" si="66"/>
        <v/>
      </c>
      <c r="EP43" s="59" t="str">
        <f t="shared" si="67"/>
        <v/>
      </c>
      <c r="EQ43" s="59" t="str">
        <f t="shared" si="68"/>
        <v/>
      </c>
      <c r="ER43" s="59" t="str">
        <f t="shared" si="69"/>
        <v/>
      </c>
      <c r="ES43" s="59" t="str">
        <f t="shared" si="70"/>
        <v/>
      </c>
      <c r="ET43" s="59" t="str">
        <f t="shared" si="71"/>
        <v/>
      </c>
      <c r="EU43" s="59" t="str">
        <f t="shared" si="72"/>
        <v/>
      </c>
      <c r="EV43" s="59" t="str">
        <f t="shared" si="73"/>
        <v/>
      </c>
      <c r="EW43" s="59" t="str">
        <f t="shared" si="74"/>
        <v/>
      </c>
      <c r="EX43" s="56">
        <f t="shared" si="26"/>
        <v>1135000</v>
      </c>
    </row>
    <row r="44" spans="1:154" x14ac:dyDescent="0.25">
      <c r="A44" s="2">
        <f t="shared" si="75"/>
        <v>43</v>
      </c>
      <c r="B44" s="2" t="s">
        <v>6</v>
      </c>
      <c r="C44" s="2" t="str">
        <f t="shared" si="27"/>
        <v>020409</v>
      </c>
      <c r="D44" s="2">
        <v>2</v>
      </c>
      <c r="E44" s="2">
        <v>4</v>
      </c>
      <c r="F44" s="2">
        <v>9</v>
      </c>
      <c r="G44" s="11" t="s">
        <v>12</v>
      </c>
      <c r="H44" s="4"/>
      <c r="I44" s="42" t="s">
        <v>58</v>
      </c>
      <c r="J44" s="9">
        <v>80</v>
      </c>
      <c r="K44" s="5"/>
      <c r="L44" s="6" t="s">
        <v>306</v>
      </c>
      <c r="M44" s="24" t="s">
        <v>178</v>
      </c>
      <c r="N44" s="7">
        <f t="shared" si="76"/>
        <v>1126000</v>
      </c>
      <c r="O44" s="8">
        <v>82</v>
      </c>
      <c r="P44" s="25">
        <v>41243</v>
      </c>
      <c r="Q44" s="8" t="str">
        <f t="shared" si="28"/>
        <v>2DA-NOV</v>
      </c>
      <c r="R44" s="26">
        <v>0</v>
      </c>
      <c r="S44" s="41" t="s">
        <v>34</v>
      </c>
      <c r="T44" s="8" t="s">
        <v>353</v>
      </c>
      <c r="U44" s="8"/>
      <c r="V44" s="7">
        <v>563000</v>
      </c>
      <c r="W44" s="7">
        <f t="shared" si="131"/>
        <v>444770</v>
      </c>
      <c r="X44" s="7">
        <f t="shared" si="29"/>
        <v>118230</v>
      </c>
      <c r="Y44" s="7">
        <v>0</v>
      </c>
      <c r="Z44" s="7">
        <f t="shared" si="30"/>
        <v>444770</v>
      </c>
      <c r="AA44" s="148" t="str">
        <f t="shared" si="31"/>
        <v>80%</v>
      </c>
      <c r="AB44" s="148">
        <f t="shared" si="32"/>
        <v>0.19999999999999996</v>
      </c>
      <c r="AC44" s="25"/>
      <c r="AD44" s="25"/>
      <c r="AE44" s="25"/>
      <c r="AF44" s="8"/>
      <c r="AG44" s="59" t="str">
        <f t="shared" ca="1" si="34"/>
        <v>NA</v>
      </c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59" t="str">
        <f t="shared" si="90"/>
        <v>NA</v>
      </c>
      <c r="AS44" s="59" t="str">
        <f t="shared" si="91"/>
        <v/>
      </c>
      <c r="AT44" s="59"/>
      <c r="AU44" s="59" t="str">
        <f t="shared" si="1"/>
        <v>ND</v>
      </c>
      <c r="AV44" s="66"/>
      <c r="AW44" s="66"/>
      <c r="AX44" s="66"/>
      <c r="AY44" s="66"/>
      <c r="AZ44" s="8"/>
      <c r="BA44" s="8" t="s">
        <v>37</v>
      </c>
      <c r="BB44" s="8"/>
      <c r="BC44" s="8"/>
      <c r="BD44" s="8"/>
      <c r="BE44" s="8"/>
      <c r="BF44" s="8"/>
      <c r="BG44" s="8"/>
      <c r="BH44" s="8"/>
      <c r="BI44" s="8"/>
      <c r="BJ44" s="8"/>
      <c r="BK44" s="59"/>
      <c r="BL44" s="59"/>
      <c r="BM44" s="59"/>
      <c r="BN44" s="164">
        <v>0.01</v>
      </c>
      <c r="BO44" s="165">
        <f t="shared" si="37"/>
        <v>3753.3333333333335</v>
      </c>
      <c r="BP44" s="165">
        <f t="shared" ref="BP44:BQ44" si="138">BO44</f>
        <v>3753.3333333333335</v>
      </c>
      <c r="BQ44" s="165">
        <f t="shared" si="138"/>
        <v>3753.3333333333335</v>
      </c>
      <c r="BR44" s="59"/>
      <c r="BS44" s="59"/>
      <c r="BT44" s="59"/>
      <c r="BU44" s="59"/>
      <c r="BV44" s="59" t="str">
        <f t="shared" si="83"/>
        <v>ND</v>
      </c>
      <c r="BW44" s="59" t="str">
        <f t="shared" si="84"/>
        <v>ND</v>
      </c>
      <c r="BX44" s="59" t="str">
        <f t="shared" si="85"/>
        <v>ND</v>
      </c>
      <c r="BY44" s="59" t="str">
        <f t="shared" si="86"/>
        <v>ND</v>
      </c>
      <c r="BZ44" s="59" t="str">
        <f t="shared" si="3"/>
        <v>NA</v>
      </c>
      <c r="CA44" s="59" t="str">
        <f t="shared" si="4"/>
        <v/>
      </c>
      <c r="CB44" s="59" t="str">
        <f t="shared" si="5"/>
        <v>NA</v>
      </c>
      <c r="CC44" s="59" t="str">
        <f t="shared" si="6"/>
        <v/>
      </c>
      <c r="CD44" s="59" t="str">
        <f t="shared" si="7"/>
        <v>NA</v>
      </c>
      <c r="CE44" s="59" t="str">
        <f t="shared" si="8"/>
        <v/>
      </c>
      <c r="CF44" s="59" t="str">
        <f t="shared" si="9"/>
        <v>NA</v>
      </c>
      <c r="CG44" s="59" t="str">
        <f t="shared" ca="1" si="10"/>
        <v>NA</v>
      </c>
      <c r="CH44" s="59" t="str">
        <f t="shared" ca="1" si="11"/>
        <v>NA</v>
      </c>
      <c r="CI44" s="59" t="str">
        <f t="shared" ca="1" si="12"/>
        <v>ND</v>
      </c>
      <c r="CJ44" s="59" t="str">
        <f t="shared" ca="1" si="13"/>
        <v>ND</v>
      </c>
      <c r="CK44" s="59" t="str">
        <f t="shared" ca="1" si="14"/>
        <v>ND</v>
      </c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>
        <f t="shared" si="43"/>
        <v>0</v>
      </c>
      <c r="DH44" s="8">
        <f t="shared" si="79"/>
        <v>0</v>
      </c>
      <c r="DI44" s="8">
        <f t="shared" si="44"/>
        <v>0</v>
      </c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59" t="str">
        <f t="shared" si="45"/>
        <v>NA</v>
      </c>
      <c r="DU44" s="59" t="str">
        <f t="shared" si="46"/>
        <v>NA</v>
      </c>
      <c r="DV44" s="59" t="str">
        <f t="shared" si="47"/>
        <v>NA</v>
      </c>
      <c r="DW44" s="59" t="str">
        <f t="shared" si="48"/>
        <v>NA</v>
      </c>
      <c r="DX44" s="59" t="str">
        <f t="shared" si="49"/>
        <v>NA</v>
      </c>
      <c r="DY44" s="59" t="str">
        <f t="shared" si="50"/>
        <v>NA</v>
      </c>
      <c r="DZ44" s="59" t="str">
        <f t="shared" si="51"/>
        <v>NA</v>
      </c>
      <c r="EA44" s="59" t="str">
        <f t="shared" si="52"/>
        <v>NA</v>
      </c>
      <c r="EB44" s="59" t="str">
        <f t="shared" si="53"/>
        <v>NA</v>
      </c>
      <c r="EC44" s="59" t="str">
        <f t="shared" si="54"/>
        <v>NA</v>
      </c>
      <c r="ED44" s="59" t="str">
        <f t="shared" si="55"/>
        <v/>
      </c>
      <c r="EE44" s="59" t="str">
        <f t="shared" si="56"/>
        <v/>
      </c>
      <c r="EF44" s="59" t="str">
        <f t="shared" si="57"/>
        <v/>
      </c>
      <c r="EG44" s="59" t="str">
        <f t="shared" si="58"/>
        <v/>
      </c>
      <c r="EH44" s="59" t="str">
        <f t="shared" si="59"/>
        <v/>
      </c>
      <c r="EI44" s="59" t="str">
        <f t="shared" si="60"/>
        <v/>
      </c>
      <c r="EJ44" s="59" t="str">
        <f t="shared" si="61"/>
        <v/>
      </c>
      <c r="EK44" s="59" t="str">
        <f t="shared" si="62"/>
        <v/>
      </c>
      <c r="EL44" s="59" t="str">
        <f t="shared" si="63"/>
        <v/>
      </c>
      <c r="EM44" s="59" t="str">
        <f t="shared" si="64"/>
        <v/>
      </c>
      <c r="EN44" s="59" t="str">
        <f t="shared" si="65"/>
        <v/>
      </c>
      <c r="EO44" s="59" t="str">
        <f t="shared" si="66"/>
        <v/>
      </c>
      <c r="EP44" s="59" t="str">
        <f t="shared" si="67"/>
        <v/>
      </c>
      <c r="EQ44" s="59" t="str">
        <f t="shared" si="68"/>
        <v/>
      </c>
      <c r="ER44" s="59" t="str">
        <f t="shared" si="69"/>
        <v/>
      </c>
      <c r="ES44" s="59" t="str">
        <f t="shared" si="70"/>
        <v/>
      </c>
      <c r="ET44" s="59" t="str">
        <f t="shared" si="71"/>
        <v/>
      </c>
      <c r="EU44" s="59" t="str">
        <f t="shared" si="72"/>
        <v/>
      </c>
      <c r="EV44" s="59" t="str">
        <f t="shared" si="73"/>
        <v/>
      </c>
      <c r="EW44" s="59" t="str">
        <f t="shared" si="74"/>
        <v/>
      </c>
      <c r="EX44" s="56">
        <f t="shared" si="26"/>
        <v>1126000</v>
      </c>
    </row>
    <row r="45" spans="1:154" x14ac:dyDescent="0.25">
      <c r="A45" s="2">
        <f t="shared" si="75"/>
        <v>44</v>
      </c>
      <c r="B45" s="2" t="s">
        <v>6</v>
      </c>
      <c r="C45" s="2" t="str">
        <f t="shared" si="27"/>
        <v>020410</v>
      </c>
      <c r="D45" s="2">
        <v>2</v>
      </c>
      <c r="E45" s="2">
        <v>4</v>
      </c>
      <c r="F45" s="2">
        <v>10</v>
      </c>
      <c r="G45" s="11" t="s">
        <v>12</v>
      </c>
      <c r="H45" s="4"/>
      <c r="I45" s="42" t="s">
        <v>58</v>
      </c>
      <c r="J45" s="9">
        <v>80</v>
      </c>
      <c r="K45" s="5"/>
      <c r="L45" s="6" t="s">
        <v>306</v>
      </c>
      <c r="M45" s="24" t="s">
        <v>178</v>
      </c>
      <c r="N45" s="7">
        <f t="shared" si="76"/>
        <v>1126000</v>
      </c>
      <c r="O45" s="8">
        <v>83</v>
      </c>
      <c r="P45" s="25">
        <v>41243</v>
      </c>
      <c r="Q45" s="8" t="str">
        <f t="shared" si="28"/>
        <v>2DA-NOV</v>
      </c>
      <c r="R45" s="26">
        <v>0</v>
      </c>
      <c r="S45" s="41" t="s">
        <v>34</v>
      </c>
      <c r="T45" s="8" t="s">
        <v>353</v>
      </c>
      <c r="U45" s="8"/>
      <c r="V45" s="7">
        <v>563000</v>
      </c>
      <c r="W45" s="7">
        <f t="shared" si="131"/>
        <v>444770</v>
      </c>
      <c r="X45" s="7">
        <f t="shared" si="29"/>
        <v>118230</v>
      </c>
      <c r="Y45" s="7">
        <v>0</v>
      </c>
      <c r="Z45" s="7">
        <f t="shared" si="30"/>
        <v>444770</v>
      </c>
      <c r="AA45" s="148" t="str">
        <f t="shared" si="31"/>
        <v>80%</v>
      </c>
      <c r="AB45" s="148">
        <f t="shared" si="32"/>
        <v>0.19999999999999996</v>
      </c>
      <c r="AC45" s="25"/>
      <c r="AD45" s="25"/>
      <c r="AE45" s="25"/>
      <c r="AF45" s="8"/>
      <c r="AG45" s="59" t="str">
        <f t="shared" ca="1" si="34"/>
        <v>NA</v>
      </c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59" t="str">
        <f t="shared" si="90"/>
        <v>NA</v>
      </c>
      <c r="AS45" s="59" t="str">
        <f t="shared" si="91"/>
        <v/>
      </c>
      <c r="AT45" s="59"/>
      <c r="AU45" s="59" t="str">
        <f t="shared" si="1"/>
        <v>ND</v>
      </c>
      <c r="AV45" s="66"/>
      <c r="AW45" s="66"/>
      <c r="AX45" s="66"/>
      <c r="AY45" s="66"/>
      <c r="AZ45" s="8"/>
      <c r="BA45" s="8" t="s">
        <v>37</v>
      </c>
      <c r="BB45" s="8"/>
      <c r="BC45" s="8"/>
      <c r="BD45" s="8"/>
      <c r="BE45" s="8"/>
      <c r="BF45" s="8"/>
      <c r="BG45" s="8"/>
      <c r="BH45" s="8"/>
      <c r="BI45" s="8"/>
      <c r="BJ45" s="8"/>
      <c r="BK45" s="59"/>
      <c r="BL45" s="59"/>
      <c r="BM45" s="59"/>
      <c r="BN45" s="164">
        <v>0.01</v>
      </c>
      <c r="BO45" s="165">
        <f t="shared" si="37"/>
        <v>3753.3333333333335</v>
      </c>
      <c r="BP45" s="165">
        <f t="shared" ref="BP45:BQ45" si="139">BO45</f>
        <v>3753.3333333333335</v>
      </c>
      <c r="BQ45" s="165">
        <f t="shared" si="139"/>
        <v>3753.3333333333335</v>
      </c>
      <c r="BR45" s="59"/>
      <c r="BS45" s="59"/>
      <c r="BT45" s="59"/>
      <c r="BU45" s="59"/>
      <c r="BV45" s="59" t="str">
        <f t="shared" si="83"/>
        <v>ND</v>
      </c>
      <c r="BW45" s="59" t="str">
        <f t="shared" si="84"/>
        <v>ND</v>
      </c>
      <c r="BX45" s="59" t="str">
        <f t="shared" si="85"/>
        <v>ND</v>
      </c>
      <c r="BY45" s="59" t="str">
        <f t="shared" si="86"/>
        <v>ND</v>
      </c>
      <c r="BZ45" s="59" t="str">
        <f t="shared" si="3"/>
        <v>NA</v>
      </c>
      <c r="CA45" s="59" t="str">
        <f t="shared" si="4"/>
        <v/>
      </c>
      <c r="CB45" s="59" t="str">
        <f t="shared" si="5"/>
        <v>NA</v>
      </c>
      <c r="CC45" s="59" t="str">
        <f t="shared" si="6"/>
        <v/>
      </c>
      <c r="CD45" s="59" t="str">
        <f t="shared" si="7"/>
        <v>NA</v>
      </c>
      <c r="CE45" s="59" t="str">
        <f t="shared" si="8"/>
        <v/>
      </c>
      <c r="CF45" s="59" t="str">
        <f t="shared" si="9"/>
        <v>NA</v>
      </c>
      <c r="CG45" s="59" t="str">
        <f t="shared" ca="1" si="10"/>
        <v>NA</v>
      </c>
      <c r="CH45" s="59" t="str">
        <f t="shared" ca="1" si="11"/>
        <v>NA</v>
      </c>
      <c r="CI45" s="59" t="str">
        <f t="shared" ca="1" si="12"/>
        <v>ND</v>
      </c>
      <c r="CJ45" s="59" t="str">
        <f t="shared" ca="1" si="13"/>
        <v>ND</v>
      </c>
      <c r="CK45" s="59" t="str">
        <f t="shared" ca="1" si="14"/>
        <v>ND</v>
      </c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>
        <f t="shared" si="43"/>
        <v>0</v>
      </c>
      <c r="DH45" s="8">
        <f t="shared" si="79"/>
        <v>0</v>
      </c>
      <c r="DI45" s="8">
        <f t="shared" si="44"/>
        <v>0</v>
      </c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59" t="str">
        <f t="shared" si="45"/>
        <v>NA</v>
      </c>
      <c r="DU45" s="59" t="str">
        <f t="shared" si="46"/>
        <v>NA</v>
      </c>
      <c r="DV45" s="59" t="str">
        <f t="shared" si="47"/>
        <v>NA</v>
      </c>
      <c r="DW45" s="59" t="str">
        <f t="shared" si="48"/>
        <v>NA</v>
      </c>
      <c r="DX45" s="59" t="str">
        <f t="shared" si="49"/>
        <v>NA</v>
      </c>
      <c r="DY45" s="59" t="str">
        <f t="shared" si="50"/>
        <v>NA</v>
      </c>
      <c r="DZ45" s="59" t="str">
        <f t="shared" si="51"/>
        <v>NA</v>
      </c>
      <c r="EA45" s="59" t="str">
        <f t="shared" si="52"/>
        <v>NA</v>
      </c>
      <c r="EB45" s="59" t="str">
        <f t="shared" si="53"/>
        <v>NA</v>
      </c>
      <c r="EC45" s="59" t="str">
        <f t="shared" si="54"/>
        <v>NA</v>
      </c>
      <c r="ED45" s="59" t="str">
        <f t="shared" si="55"/>
        <v/>
      </c>
      <c r="EE45" s="59" t="str">
        <f t="shared" si="56"/>
        <v/>
      </c>
      <c r="EF45" s="59" t="str">
        <f t="shared" si="57"/>
        <v/>
      </c>
      <c r="EG45" s="59" t="str">
        <f t="shared" si="58"/>
        <v/>
      </c>
      <c r="EH45" s="59" t="str">
        <f t="shared" si="59"/>
        <v/>
      </c>
      <c r="EI45" s="59" t="str">
        <f t="shared" si="60"/>
        <v/>
      </c>
      <c r="EJ45" s="59" t="str">
        <f t="shared" si="61"/>
        <v/>
      </c>
      <c r="EK45" s="59" t="str">
        <f t="shared" si="62"/>
        <v/>
      </c>
      <c r="EL45" s="59" t="str">
        <f t="shared" si="63"/>
        <v/>
      </c>
      <c r="EM45" s="59" t="str">
        <f t="shared" si="64"/>
        <v/>
      </c>
      <c r="EN45" s="59" t="str">
        <f t="shared" si="65"/>
        <v/>
      </c>
      <c r="EO45" s="59" t="str">
        <f t="shared" si="66"/>
        <v/>
      </c>
      <c r="EP45" s="59" t="str">
        <f t="shared" si="67"/>
        <v/>
      </c>
      <c r="EQ45" s="59" t="str">
        <f t="shared" si="68"/>
        <v/>
      </c>
      <c r="ER45" s="59" t="str">
        <f t="shared" si="69"/>
        <v/>
      </c>
      <c r="ES45" s="59" t="str">
        <f t="shared" si="70"/>
        <v/>
      </c>
      <c r="ET45" s="59" t="str">
        <f t="shared" si="71"/>
        <v/>
      </c>
      <c r="EU45" s="59" t="str">
        <f t="shared" si="72"/>
        <v/>
      </c>
      <c r="EV45" s="59" t="str">
        <f t="shared" si="73"/>
        <v/>
      </c>
      <c r="EW45" s="59" t="str">
        <f t="shared" si="74"/>
        <v/>
      </c>
      <c r="EX45" s="56">
        <f t="shared" si="26"/>
        <v>1126000</v>
      </c>
    </row>
    <row r="46" spans="1:154" x14ac:dyDescent="0.25">
      <c r="A46" s="2">
        <f t="shared" si="75"/>
        <v>45</v>
      </c>
      <c r="B46" s="2" t="s">
        <v>6</v>
      </c>
      <c r="C46" s="2" t="str">
        <f t="shared" si="27"/>
        <v>020411</v>
      </c>
      <c r="D46" s="2">
        <v>2</v>
      </c>
      <c r="E46" s="2">
        <v>4</v>
      </c>
      <c r="F46" s="2">
        <v>11</v>
      </c>
      <c r="G46" s="11" t="s">
        <v>12</v>
      </c>
      <c r="H46" s="4"/>
      <c r="I46" s="42" t="s">
        <v>58</v>
      </c>
      <c r="J46" s="9">
        <v>80</v>
      </c>
      <c r="K46" s="9"/>
      <c r="L46" s="10" t="s">
        <v>8</v>
      </c>
      <c r="M46" s="24" t="s">
        <v>178</v>
      </c>
      <c r="N46" s="7">
        <f t="shared" si="76"/>
        <v>1135000</v>
      </c>
      <c r="O46" s="8">
        <v>84</v>
      </c>
      <c r="P46" s="25">
        <v>41243</v>
      </c>
      <c r="Q46" s="8" t="str">
        <f t="shared" si="28"/>
        <v>2DA-NOV</v>
      </c>
      <c r="R46" s="26">
        <v>0</v>
      </c>
      <c r="S46" s="41" t="s">
        <v>34</v>
      </c>
      <c r="T46" s="8" t="s">
        <v>353</v>
      </c>
      <c r="U46" s="8"/>
      <c r="V46" s="7">
        <v>567500</v>
      </c>
      <c r="W46" s="7">
        <f t="shared" si="131"/>
        <v>448325</v>
      </c>
      <c r="X46" s="7">
        <f t="shared" si="29"/>
        <v>119175</v>
      </c>
      <c r="Y46" s="7">
        <v>0</v>
      </c>
      <c r="Z46" s="7">
        <f t="shared" si="30"/>
        <v>448325</v>
      </c>
      <c r="AA46" s="148" t="str">
        <f t="shared" si="31"/>
        <v>80%</v>
      </c>
      <c r="AB46" s="148">
        <f t="shared" si="32"/>
        <v>0.19999999999999996</v>
      </c>
      <c r="AC46" s="25">
        <v>41067</v>
      </c>
      <c r="AD46" s="25">
        <v>41067</v>
      </c>
      <c r="AE46" s="25">
        <v>41067</v>
      </c>
      <c r="AF46" s="8"/>
      <c r="AG46" s="59" t="str">
        <f t="shared" ca="1" si="34"/>
        <v>NA</v>
      </c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59" t="str">
        <f t="shared" si="90"/>
        <v>NA</v>
      </c>
      <c r="AS46" s="59" t="str">
        <f t="shared" si="91"/>
        <v/>
      </c>
      <c r="AT46" s="59"/>
      <c r="AU46" s="59" t="str">
        <f t="shared" si="1"/>
        <v>ND</v>
      </c>
      <c r="AV46" s="66"/>
      <c r="AW46" s="66"/>
      <c r="AX46" s="66"/>
      <c r="AY46" s="66"/>
      <c r="AZ46" s="8"/>
      <c r="BA46" s="8" t="s">
        <v>37</v>
      </c>
      <c r="BB46" s="8"/>
      <c r="BC46" s="8"/>
      <c r="BD46" s="8"/>
      <c r="BE46" s="8"/>
      <c r="BF46" s="8"/>
      <c r="BG46" s="8"/>
      <c r="BH46" s="8"/>
      <c r="BI46" s="8"/>
      <c r="BJ46" s="8"/>
      <c r="BK46" s="59"/>
      <c r="BL46" s="59"/>
      <c r="BM46" s="59"/>
      <c r="BN46" s="164">
        <v>0.01</v>
      </c>
      <c r="BO46" s="165">
        <f t="shared" si="37"/>
        <v>3783.3333333333335</v>
      </c>
      <c r="BP46" s="165">
        <f t="shared" ref="BP46:BQ46" si="140">BO46</f>
        <v>3783.3333333333335</v>
      </c>
      <c r="BQ46" s="165">
        <f t="shared" si="140"/>
        <v>3783.3333333333335</v>
      </c>
      <c r="BR46" s="59"/>
      <c r="BS46" s="59"/>
      <c r="BT46" s="59"/>
      <c r="BU46" s="59"/>
      <c r="BV46" s="59" t="str">
        <f t="shared" si="83"/>
        <v>ND</v>
      </c>
      <c r="BW46" s="59" t="str">
        <f t="shared" si="84"/>
        <v>ND</v>
      </c>
      <c r="BX46" s="59" t="str">
        <f t="shared" si="85"/>
        <v>ND</v>
      </c>
      <c r="BY46" s="59" t="str">
        <f t="shared" si="86"/>
        <v>ND</v>
      </c>
      <c r="BZ46" s="59" t="str">
        <f t="shared" si="3"/>
        <v>NA</v>
      </c>
      <c r="CA46" s="59" t="str">
        <f t="shared" si="4"/>
        <v/>
      </c>
      <c r="CB46" s="59" t="str">
        <f t="shared" si="5"/>
        <v>NA</v>
      </c>
      <c r="CC46" s="59" t="str">
        <f t="shared" si="6"/>
        <v/>
      </c>
      <c r="CD46" s="59" t="str">
        <f t="shared" si="7"/>
        <v>NA</v>
      </c>
      <c r="CE46" s="59" t="str">
        <f t="shared" si="8"/>
        <v/>
      </c>
      <c r="CF46" s="59" t="str">
        <f t="shared" si="9"/>
        <v>NA</v>
      </c>
      <c r="CG46" s="59" t="str">
        <f t="shared" ca="1" si="10"/>
        <v>NA</v>
      </c>
      <c r="CH46" s="59" t="str">
        <f t="shared" ca="1" si="11"/>
        <v>NA</v>
      </c>
      <c r="CI46" s="59" t="str">
        <f t="shared" ca="1" si="12"/>
        <v>MAYOR A 45 DIAS</v>
      </c>
      <c r="CJ46" s="59" t="str">
        <f t="shared" ca="1" si="13"/>
        <v>MAYOR A 45 DIAS</v>
      </c>
      <c r="CK46" s="59" t="str">
        <f t="shared" ca="1" si="14"/>
        <v>MAYOR A 45 DIAS</v>
      </c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>
        <f t="shared" si="43"/>
        <v>0</v>
      </c>
      <c r="DH46" s="8">
        <f t="shared" si="79"/>
        <v>0</v>
      </c>
      <c r="DI46" s="8">
        <f t="shared" si="44"/>
        <v>0</v>
      </c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59" t="str">
        <f t="shared" si="45"/>
        <v>NA</v>
      </c>
      <c r="DU46" s="59" t="str">
        <f t="shared" si="46"/>
        <v>NA</v>
      </c>
      <c r="DV46" s="59" t="str">
        <f t="shared" si="47"/>
        <v>NA</v>
      </c>
      <c r="DW46" s="59" t="str">
        <f t="shared" si="48"/>
        <v>NA</v>
      </c>
      <c r="DX46" s="59" t="str">
        <f t="shared" si="49"/>
        <v>NA</v>
      </c>
      <c r="DY46" s="59" t="str">
        <f t="shared" si="50"/>
        <v>NA</v>
      </c>
      <c r="DZ46" s="59" t="str">
        <f t="shared" si="51"/>
        <v>NA</v>
      </c>
      <c r="EA46" s="59" t="str">
        <f t="shared" si="52"/>
        <v>NA</v>
      </c>
      <c r="EB46" s="59" t="str">
        <f t="shared" si="53"/>
        <v>NA</v>
      </c>
      <c r="EC46" s="59" t="str">
        <f t="shared" si="54"/>
        <v>NA</v>
      </c>
      <c r="ED46" s="59" t="str">
        <f t="shared" si="55"/>
        <v/>
      </c>
      <c r="EE46" s="59" t="str">
        <f t="shared" si="56"/>
        <v/>
      </c>
      <c r="EF46" s="59" t="str">
        <f t="shared" si="57"/>
        <v/>
      </c>
      <c r="EG46" s="59" t="str">
        <f t="shared" si="58"/>
        <v/>
      </c>
      <c r="EH46" s="59" t="str">
        <f t="shared" si="59"/>
        <v/>
      </c>
      <c r="EI46" s="59" t="str">
        <f t="shared" si="60"/>
        <v/>
      </c>
      <c r="EJ46" s="59" t="str">
        <f t="shared" si="61"/>
        <v/>
      </c>
      <c r="EK46" s="59" t="str">
        <f t="shared" si="62"/>
        <v/>
      </c>
      <c r="EL46" s="59" t="str">
        <f t="shared" si="63"/>
        <v/>
      </c>
      <c r="EM46" s="59" t="str">
        <f t="shared" si="64"/>
        <v/>
      </c>
      <c r="EN46" s="59" t="str">
        <f t="shared" si="65"/>
        <v/>
      </c>
      <c r="EO46" s="59" t="str">
        <f t="shared" si="66"/>
        <v/>
      </c>
      <c r="EP46" s="59" t="str">
        <f t="shared" si="67"/>
        <v/>
      </c>
      <c r="EQ46" s="59" t="str">
        <f t="shared" si="68"/>
        <v/>
      </c>
      <c r="ER46" s="59" t="str">
        <f t="shared" si="69"/>
        <v/>
      </c>
      <c r="ES46" s="59" t="str">
        <f t="shared" si="70"/>
        <v/>
      </c>
      <c r="ET46" s="59" t="str">
        <f t="shared" si="71"/>
        <v/>
      </c>
      <c r="EU46" s="59" t="str">
        <f t="shared" si="72"/>
        <v/>
      </c>
      <c r="EV46" s="59" t="str">
        <f t="shared" si="73"/>
        <v/>
      </c>
      <c r="EW46" s="59" t="str">
        <f t="shared" si="74"/>
        <v/>
      </c>
      <c r="EX46" s="56">
        <f t="shared" si="26"/>
        <v>1135000</v>
      </c>
    </row>
    <row r="47" spans="1:154" x14ac:dyDescent="0.25">
      <c r="A47" s="2">
        <f t="shared" si="75"/>
        <v>46</v>
      </c>
      <c r="B47" s="2" t="s">
        <v>6</v>
      </c>
      <c r="C47" s="2" t="str">
        <f t="shared" si="27"/>
        <v>020412</v>
      </c>
      <c r="D47" s="2">
        <v>2</v>
      </c>
      <c r="E47" s="2">
        <v>4</v>
      </c>
      <c r="F47" s="2">
        <v>12</v>
      </c>
      <c r="G47" s="11" t="s">
        <v>12</v>
      </c>
      <c r="H47" s="4"/>
      <c r="I47" s="42" t="s">
        <v>58</v>
      </c>
      <c r="J47" s="9">
        <v>80</v>
      </c>
      <c r="K47" s="5"/>
      <c r="L47" s="6" t="s">
        <v>306</v>
      </c>
      <c r="M47" s="24" t="s">
        <v>178</v>
      </c>
      <c r="N47" s="7">
        <f t="shared" si="76"/>
        <v>1126000</v>
      </c>
      <c r="O47" s="8">
        <v>85</v>
      </c>
      <c r="P47" s="25">
        <v>41243</v>
      </c>
      <c r="Q47" s="8" t="str">
        <f t="shared" si="28"/>
        <v>2DA-NOV</v>
      </c>
      <c r="R47" s="26">
        <v>0</v>
      </c>
      <c r="S47" s="41" t="s">
        <v>34</v>
      </c>
      <c r="T47" s="8" t="s">
        <v>353</v>
      </c>
      <c r="U47" s="8"/>
      <c r="V47" s="7">
        <v>563000</v>
      </c>
      <c r="W47" s="7">
        <f t="shared" si="131"/>
        <v>444770</v>
      </c>
      <c r="X47" s="7">
        <f t="shared" si="29"/>
        <v>118230</v>
      </c>
      <c r="Y47" s="7">
        <v>0</v>
      </c>
      <c r="Z47" s="7">
        <f t="shared" si="30"/>
        <v>444770</v>
      </c>
      <c r="AA47" s="148" t="str">
        <f t="shared" si="31"/>
        <v>80%</v>
      </c>
      <c r="AB47" s="148">
        <f t="shared" si="32"/>
        <v>0.19999999999999996</v>
      </c>
      <c r="AC47" s="25">
        <v>41070</v>
      </c>
      <c r="AD47" s="25">
        <v>41070</v>
      </c>
      <c r="AE47" s="25">
        <v>41070</v>
      </c>
      <c r="AF47" s="8"/>
      <c r="AG47" s="59" t="str">
        <f t="shared" ca="1" si="34"/>
        <v>NA</v>
      </c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59" t="str">
        <f t="shared" si="90"/>
        <v>NA</v>
      </c>
      <c r="AS47" s="59" t="str">
        <f t="shared" si="91"/>
        <v/>
      </c>
      <c r="AT47" s="59"/>
      <c r="AU47" s="59" t="str">
        <f t="shared" si="1"/>
        <v>ND</v>
      </c>
      <c r="AV47" s="66"/>
      <c r="AW47" s="66"/>
      <c r="AX47" s="66"/>
      <c r="AY47" s="66"/>
      <c r="AZ47" s="8"/>
      <c r="BA47" s="8" t="s">
        <v>37</v>
      </c>
      <c r="BB47" s="8"/>
      <c r="BC47" s="8"/>
      <c r="BD47" s="8"/>
      <c r="BE47" s="8"/>
      <c r="BF47" s="8"/>
      <c r="BG47" s="8"/>
      <c r="BH47" s="8"/>
      <c r="BI47" s="8"/>
      <c r="BJ47" s="8"/>
      <c r="BK47" s="59"/>
      <c r="BL47" s="59"/>
      <c r="BM47" s="59"/>
      <c r="BN47" s="164">
        <v>0.01</v>
      </c>
      <c r="BO47" s="165">
        <f t="shared" si="37"/>
        <v>3753.3333333333335</v>
      </c>
      <c r="BP47" s="165">
        <f t="shared" ref="BP47:BQ47" si="141">BO47</f>
        <v>3753.3333333333335</v>
      </c>
      <c r="BQ47" s="165">
        <f t="shared" si="141"/>
        <v>3753.3333333333335</v>
      </c>
      <c r="BR47" s="59"/>
      <c r="BS47" s="59"/>
      <c r="BT47" s="59"/>
      <c r="BU47" s="59"/>
      <c r="BV47" s="59" t="str">
        <f t="shared" si="83"/>
        <v>ND</v>
      </c>
      <c r="BW47" s="59" t="str">
        <f t="shared" si="84"/>
        <v>ND</v>
      </c>
      <c r="BX47" s="59" t="str">
        <f t="shared" si="85"/>
        <v>ND</v>
      </c>
      <c r="BY47" s="59" t="str">
        <f t="shared" si="86"/>
        <v>ND</v>
      </c>
      <c r="BZ47" s="59" t="str">
        <f t="shared" si="3"/>
        <v>NA</v>
      </c>
      <c r="CA47" s="59" t="str">
        <f t="shared" si="4"/>
        <v/>
      </c>
      <c r="CB47" s="59" t="str">
        <f t="shared" si="5"/>
        <v>NA</v>
      </c>
      <c r="CC47" s="59" t="str">
        <f t="shared" si="6"/>
        <v/>
      </c>
      <c r="CD47" s="59" t="str">
        <f t="shared" si="7"/>
        <v>NA</v>
      </c>
      <c r="CE47" s="59" t="str">
        <f t="shared" si="8"/>
        <v/>
      </c>
      <c r="CF47" s="59" t="str">
        <f t="shared" si="9"/>
        <v>NA</v>
      </c>
      <c r="CG47" s="59" t="str">
        <f t="shared" ca="1" si="10"/>
        <v>NA</v>
      </c>
      <c r="CH47" s="59" t="str">
        <f t="shared" ca="1" si="11"/>
        <v>NA</v>
      </c>
      <c r="CI47" s="59" t="str">
        <f t="shared" ca="1" si="12"/>
        <v>MAYOR A 45 DIAS</v>
      </c>
      <c r="CJ47" s="59" t="str">
        <f t="shared" ca="1" si="13"/>
        <v>MAYOR A 45 DIAS</v>
      </c>
      <c r="CK47" s="59" t="str">
        <f t="shared" ca="1" si="14"/>
        <v>MAYOR A 45 DIAS</v>
      </c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>
        <f t="shared" si="43"/>
        <v>0</v>
      </c>
      <c r="DH47" s="8">
        <f t="shared" si="79"/>
        <v>0</v>
      </c>
      <c r="DI47" s="8">
        <f t="shared" si="44"/>
        <v>0</v>
      </c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59" t="str">
        <f t="shared" si="45"/>
        <v>NA</v>
      </c>
      <c r="DU47" s="59" t="str">
        <f t="shared" si="46"/>
        <v>NA</v>
      </c>
      <c r="DV47" s="59" t="str">
        <f t="shared" si="47"/>
        <v>NA</v>
      </c>
      <c r="DW47" s="59" t="str">
        <f t="shared" si="48"/>
        <v>NA</v>
      </c>
      <c r="DX47" s="59" t="str">
        <f t="shared" si="49"/>
        <v>NA</v>
      </c>
      <c r="DY47" s="59" t="str">
        <f t="shared" si="50"/>
        <v>NA</v>
      </c>
      <c r="DZ47" s="59" t="str">
        <f t="shared" si="51"/>
        <v>NA</v>
      </c>
      <c r="EA47" s="59" t="str">
        <f t="shared" si="52"/>
        <v>NA</v>
      </c>
      <c r="EB47" s="59" t="str">
        <f t="shared" si="53"/>
        <v>NA</v>
      </c>
      <c r="EC47" s="59" t="str">
        <f t="shared" si="54"/>
        <v>NA</v>
      </c>
      <c r="ED47" s="59" t="str">
        <f t="shared" si="55"/>
        <v/>
      </c>
      <c r="EE47" s="59" t="str">
        <f t="shared" si="56"/>
        <v/>
      </c>
      <c r="EF47" s="59" t="str">
        <f t="shared" si="57"/>
        <v/>
      </c>
      <c r="EG47" s="59" t="str">
        <f t="shared" si="58"/>
        <v/>
      </c>
      <c r="EH47" s="59" t="str">
        <f t="shared" si="59"/>
        <v/>
      </c>
      <c r="EI47" s="59" t="str">
        <f t="shared" si="60"/>
        <v/>
      </c>
      <c r="EJ47" s="59" t="str">
        <f t="shared" si="61"/>
        <v/>
      </c>
      <c r="EK47" s="59" t="str">
        <f t="shared" si="62"/>
        <v/>
      </c>
      <c r="EL47" s="59" t="str">
        <f t="shared" si="63"/>
        <v/>
      </c>
      <c r="EM47" s="59" t="str">
        <f t="shared" si="64"/>
        <v/>
      </c>
      <c r="EN47" s="59" t="str">
        <f t="shared" si="65"/>
        <v/>
      </c>
      <c r="EO47" s="59" t="str">
        <f t="shared" si="66"/>
        <v/>
      </c>
      <c r="EP47" s="59" t="str">
        <f t="shared" si="67"/>
        <v/>
      </c>
      <c r="EQ47" s="59" t="str">
        <f t="shared" si="68"/>
        <v/>
      </c>
      <c r="ER47" s="59" t="str">
        <f t="shared" si="69"/>
        <v/>
      </c>
      <c r="ES47" s="59" t="str">
        <f t="shared" si="70"/>
        <v/>
      </c>
      <c r="ET47" s="59" t="str">
        <f t="shared" si="71"/>
        <v/>
      </c>
      <c r="EU47" s="59" t="str">
        <f t="shared" si="72"/>
        <v/>
      </c>
      <c r="EV47" s="59" t="str">
        <f t="shared" si="73"/>
        <v/>
      </c>
      <c r="EW47" s="59" t="str">
        <f t="shared" si="74"/>
        <v/>
      </c>
      <c r="EX47" s="56">
        <f t="shared" si="26"/>
        <v>1126000</v>
      </c>
    </row>
    <row r="48" spans="1:154" x14ac:dyDescent="0.25">
      <c r="A48" s="2">
        <f t="shared" si="75"/>
        <v>47</v>
      </c>
      <c r="B48" s="2" t="s">
        <v>6</v>
      </c>
      <c r="C48" s="2" t="str">
        <f t="shared" si="27"/>
        <v>020413</v>
      </c>
      <c r="D48" s="2">
        <v>2</v>
      </c>
      <c r="E48" s="2">
        <v>4</v>
      </c>
      <c r="F48" s="2">
        <v>13</v>
      </c>
      <c r="G48" s="11" t="s">
        <v>12</v>
      </c>
      <c r="H48" s="4"/>
      <c r="I48" s="42" t="s">
        <v>58</v>
      </c>
      <c r="J48" s="9">
        <v>80</v>
      </c>
      <c r="K48" s="5"/>
      <c r="L48" s="6" t="s">
        <v>306</v>
      </c>
      <c r="M48" s="24" t="s">
        <v>178</v>
      </c>
      <c r="N48" s="7">
        <f t="shared" si="76"/>
        <v>1126000</v>
      </c>
      <c r="O48" s="8">
        <v>86</v>
      </c>
      <c r="P48" s="25">
        <v>41243</v>
      </c>
      <c r="Q48" s="8" t="str">
        <f t="shared" si="28"/>
        <v>2DA-NOV</v>
      </c>
      <c r="R48" s="26">
        <v>0</v>
      </c>
      <c r="S48" s="41" t="s">
        <v>34</v>
      </c>
      <c r="T48" s="8" t="s">
        <v>353</v>
      </c>
      <c r="U48" s="8"/>
      <c r="V48" s="7">
        <v>563000</v>
      </c>
      <c r="W48" s="7">
        <f t="shared" si="131"/>
        <v>444770</v>
      </c>
      <c r="X48" s="7">
        <f t="shared" si="29"/>
        <v>118230</v>
      </c>
      <c r="Y48" s="7">
        <v>0</v>
      </c>
      <c r="Z48" s="7">
        <f t="shared" si="30"/>
        <v>444770</v>
      </c>
      <c r="AA48" s="148" t="str">
        <f t="shared" si="31"/>
        <v>80%</v>
      </c>
      <c r="AB48" s="148">
        <f t="shared" si="32"/>
        <v>0.19999999999999996</v>
      </c>
      <c r="AC48" s="25">
        <v>41069</v>
      </c>
      <c r="AD48" s="25">
        <v>41069</v>
      </c>
      <c r="AE48" s="25">
        <v>41069</v>
      </c>
      <c r="AF48" s="8"/>
      <c r="AG48" s="59" t="str">
        <f t="shared" ca="1" si="34"/>
        <v>NA</v>
      </c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59" t="str">
        <f t="shared" si="90"/>
        <v>NA</v>
      </c>
      <c r="AS48" s="59" t="str">
        <f t="shared" si="91"/>
        <v/>
      </c>
      <c r="AT48" s="59"/>
      <c r="AU48" s="59" t="str">
        <f t="shared" si="1"/>
        <v>ND</v>
      </c>
      <c r="AV48" s="66"/>
      <c r="AW48" s="66"/>
      <c r="AX48" s="66"/>
      <c r="AY48" s="66"/>
      <c r="AZ48" s="8"/>
      <c r="BA48" s="8" t="s">
        <v>37</v>
      </c>
      <c r="BB48" s="8"/>
      <c r="BC48" s="8"/>
      <c r="BD48" s="8"/>
      <c r="BE48" s="8"/>
      <c r="BF48" s="8"/>
      <c r="BG48" s="8"/>
      <c r="BH48" s="8"/>
      <c r="BI48" s="8"/>
      <c r="BJ48" s="8"/>
      <c r="BK48" s="59"/>
      <c r="BL48" s="59"/>
      <c r="BM48" s="59"/>
      <c r="BN48" s="164">
        <v>0.01</v>
      </c>
      <c r="BO48" s="165">
        <f t="shared" si="37"/>
        <v>3753.3333333333335</v>
      </c>
      <c r="BP48" s="165">
        <f t="shared" ref="BP48:BQ48" si="142">BO48</f>
        <v>3753.3333333333335</v>
      </c>
      <c r="BQ48" s="165">
        <f t="shared" si="142"/>
        <v>3753.3333333333335</v>
      </c>
      <c r="BR48" s="59"/>
      <c r="BS48" s="59"/>
      <c r="BT48" s="59"/>
      <c r="BU48" s="59"/>
      <c r="BV48" s="59" t="str">
        <f t="shared" si="83"/>
        <v>ND</v>
      </c>
      <c r="BW48" s="59" t="str">
        <f t="shared" si="84"/>
        <v>ND</v>
      </c>
      <c r="BX48" s="59" t="str">
        <f t="shared" si="85"/>
        <v>ND</v>
      </c>
      <c r="BY48" s="59" t="str">
        <f t="shared" si="86"/>
        <v>ND</v>
      </c>
      <c r="BZ48" s="59" t="str">
        <f t="shared" si="3"/>
        <v>NA</v>
      </c>
      <c r="CA48" s="59" t="str">
        <f t="shared" si="4"/>
        <v/>
      </c>
      <c r="CB48" s="59" t="str">
        <f t="shared" si="5"/>
        <v>NA</v>
      </c>
      <c r="CC48" s="59" t="str">
        <f t="shared" si="6"/>
        <v/>
      </c>
      <c r="CD48" s="59" t="str">
        <f t="shared" si="7"/>
        <v>NA</v>
      </c>
      <c r="CE48" s="59" t="str">
        <f t="shared" si="8"/>
        <v/>
      </c>
      <c r="CF48" s="59" t="str">
        <f t="shared" si="9"/>
        <v>NA</v>
      </c>
      <c r="CG48" s="59" t="str">
        <f t="shared" ca="1" si="10"/>
        <v>NA</v>
      </c>
      <c r="CH48" s="59" t="str">
        <f t="shared" ca="1" si="11"/>
        <v>NA</v>
      </c>
      <c r="CI48" s="59" t="str">
        <f t="shared" ca="1" si="12"/>
        <v>MAYOR A 45 DIAS</v>
      </c>
      <c r="CJ48" s="59" t="str">
        <f t="shared" ca="1" si="13"/>
        <v>MAYOR A 45 DIAS</v>
      </c>
      <c r="CK48" s="59" t="str">
        <f t="shared" ca="1" si="14"/>
        <v>MAYOR A 45 DIAS</v>
      </c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>
        <f t="shared" si="43"/>
        <v>0</v>
      </c>
      <c r="DH48" s="8">
        <f t="shared" si="79"/>
        <v>0</v>
      </c>
      <c r="DI48" s="8">
        <f t="shared" si="44"/>
        <v>0</v>
      </c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59" t="str">
        <f t="shared" si="45"/>
        <v>NA</v>
      </c>
      <c r="DU48" s="59" t="str">
        <f t="shared" si="46"/>
        <v>NA</v>
      </c>
      <c r="DV48" s="59" t="str">
        <f t="shared" si="47"/>
        <v>NA</v>
      </c>
      <c r="DW48" s="59" t="str">
        <f t="shared" si="48"/>
        <v>NA</v>
      </c>
      <c r="DX48" s="59" t="str">
        <f t="shared" si="49"/>
        <v>NA</v>
      </c>
      <c r="DY48" s="59" t="str">
        <f t="shared" si="50"/>
        <v>NA</v>
      </c>
      <c r="DZ48" s="59" t="str">
        <f t="shared" si="51"/>
        <v>NA</v>
      </c>
      <c r="EA48" s="59" t="str">
        <f t="shared" si="52"/>
        <v>NA</v>
      </c>
      <c r="EB48" s="59" t="str">
        <f t="shared" si="53"/>
        <v>NA</v>
      </c>
      <c r="EC48" s="59" t="str">
        <f t="shared" si="54"/>
        <v>NA</v>
      </c>
      <c r="ED48" s="59" t="str">
        <f t="shared" si="55"/>
        <v/>
      </c>
      <c r="EE48" s="59" t="str">
        <f t="shared" si="56"/>
        <v/>
      </c>
      <c r="EF48" s="59" t="str">
        <f t="shared" si="57"/>
        <v/>
      </c>
      <c r="EG48" s="59" t="str">
        <f t="shared" si="58"/>
        <v/>
      </c>
      <c r="EH48" s="59" t="str">
        <f t="shared" si="59"/>
        <v/>
      </c>
      <c r="EI48" s="59" t="str">
        <f t="shared" si="60"/>
        <v/>
      </c>
      <c r="EJ48" s="59" t="str">
        <f t="shared" si="61"/>
        <v/>
      </c>
      <c r="EK48" s="59" t="str">
        <f t="shared" si="62"/>
        <v/>
      </c>
      <c r="EL48" s="59" t="str">
        <f t="shared" si="63"/>
        <v/>
      </c>
      <c r="EM48" s="59" t="str">
        <f t="shared" si="64"/>
        <v/>
      </c>
      <c r="EN48" s="59" t="str">
        <f t="shared" si="65"/>
        <v/>
      </c>
      <c r="EO48" s="59" t="str">
        <f t="shared" si="66"/>
        <v/>
      </c>
      <c r="EP48" s="59" t="str">
        <f t="shared" si="67"/>
        <v/>
      </c>
      <c r="EQ48" s="59" t="str">
        <f t="shared" si="68"/>
        <v/>
      </c>
      <c r="ER48" s="59" t="str">
        <f t="shared" si="69"/>
        <v/>
      </c>
      <c r="ES48" s="59" t="str">
        <f t="shared" si="70"/>
        <v/>
      </c>
      <c r="ET48" s="59" t="str">
        <f t="shared" si="71"/>
        <v/>
      </c>
      <c r="EU48" s="59" t="str">
        <f t="shared" si="72"/>
        <v/>
      </c>
      <c r="EV48" s="59" t="str">
        <f t="shared" si="73"/>
        <v/>
      </c>
      <c r="EW48" s="59" t="str">
        <f t="shared" si="74"/>
        <v/>
      </c>
      <c r="EX48" s="56">
        <f t="shared" si="26"/>
        <v>1126000</v>
      </c>
    </row>
    <row r="49" spans="1:154" x14ac:dyDescent="0.25">
      <c r="A49" s="2">
        <f t="shared" si="75"/>
        <v>48</v>
      </c>
      <c r="B49" s="2" t="s">
        <v>6</v>
      </c>
      <c r="C49" s="2" t="str">
        <f t="shared" si="27"/>
        <v>020414</v>
      </c>
      <c r="D49" s="2">
        <v>2</v>
      </c>
      <c r="E49" s="2">
        <v>4</v>
      </c>
      <c r="F49" s="2">
        <v>14</v>
      </c>
      <c r="G49" s="11" t="s">
        <v>12</v>
      </c>
      <c r="H49" s="4"/>
      <c r="I49" s="42" t="s">
        <v>58</v>
      </c>
      <c r="J49" s="9">
        <v>80</v>
      </c>
      <c r="K49" s="9"/>
      <c r="L49" s="10" t="s">
        <v>8</v>
      </c>
      <c r="M49" s="24" t="s">
        <v>178</v>
      </c>
      <c r="N49" s="7">
        <f t="shared" si="76"/>
        <v>1135000</v>
      </c>
      <c r="O49" s="8">
        <v>87</v>
      </c>
      <c r="P49" s="25">
        <v>41243</v>
      </c>
      <c r="Q49" s="8" t="str">
        <f t="shared" si="28"/>
        <v>2DA-NOV</v>
      </c>
      <c r="R49" s="26">
        <v>0</v>
      </c>
      <c r="S49" s="41" t="s">
        <v>34</v>
      </c>
      <c r="T49" s="8" t="s">
        <v>353</v>
      </c>
      <c r="U49" s="8"/>
      <c r="V49" s="7">
        <v>567500</v>
      </c>
      <c r="W49" s="7">
        <f t="shared" si="131"/>
        <v>448325</v>
      </c>
      <c r="X49" s="7">
        <f t="shared" si="29"/>
        <v>119175</v>
      </c>
      <c r="Y49" s="7">
        <v>0</v>
      </c>
      <c r="Z49" s="7">
        <f t="shared" si="30"/>
        <v>448325</v>
      </c>
      <c r="AA49" s="148" t="str">
        <f t="shared" si="31"/>
        <v>80%</v>
      </c>
      <c r="AB49" s="148">
        <f t="shared" si="32"/>
        <v>0.19999999999999996</v>
      </c>
      <c r="AC49" s="25">
        <v>41049</v>
      </c>
      <c r="AD49" s="25">
        <v>41049</v>
      </c>
      <c r="AE49" s="25">
        <v>41049</v>
      </c>
      <c r="AF49" s="8"/>
      <c r="AG49" s="59" t="str">
        <f t="shared" ca="1" si="34"/>
        <v>NA</v>
      </c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59" t="str">
        <f t="shared" si="90"/>
        <v>NA</v>
      </c>
      <c r="AS49" s="59" t="str">
        <f t="shared" si="91"/>
        <v/>
      </c>
      <c r="AT49" s="59"/>
      <c r="AU49" s="59" t="str">
        <f t="shared" si="1"/>
        <v>ND</v>
      </c>
      <c r="AV49" s="66"/>
      <c r="AW49" s="66"/>
      <c r="AX49" s="66"/>
      <c r="AY49" s="66"/>
      <c r="AZ49" s="8"/>
      <c r="BA49" s="8" t="s">
        <v>37</v>
      </c>
      <c r="BB49" s="8"/>
      <c r="BC49" s="8"/>
      <c r="BD49" s="8"/>
      <c r="BE49" s="8"/>
      <c r="BF49" s="8"/>
      <c r="BG49" s="8"/>
      <c r="BH49" s="8"/>
      <c r="BI49" s="8"/>
      <c r="BJ49" s="8"/>
      <c r="BK49" s="59"/>
      <c r="BL49" s="59"/>
      <c r="BM49" s="59"/>
      <c r="BN49" s="164">
        <v>0.01</v>
      </c>
      <c r="BO49" s="165">
        <f t="shared" si="37"/>
        <v>3783.3333333333335</v>
      </c>
      <c r="BP49" s="165">
        <f t="shared" ref="BP49:BQ49" si="143">BO49</f>
        <v>3783.3333333333335</v>
      </c>
      <c r="BQ49" s="165">
        <f t="shared" si="143"/>
        <v>3783.3333333333335</v>
      </c>
      <c r="BR49" s="59"/>
      <c r="BS49" s="59"/>
      <c r="BT49" s="59"/>
      <c r="BU49" s="59"/>
      <c r="BV49" s="59" t="str">
        <f t="shared" si="83"/>
        <v>ND</v>
      </c>
      <c r="BW49" s="59" t="str">
        <f t="shared" si="84"/>
        <v>ND</v>
      </c>
      <c r="BX49" s="59" t="str">
        <f t="shared" si="85"/>
        <v>ND</v>
      </c>
      <c r="BY49" s="59" t="str">
        <f t="shared" si="86"/>
        <v>ND</v>
      </c>
      <c r="BZ49" s="59" t="str">
        <f t="shared" si="3"/>
        <v>NA</v>
      </c>
      <c r="CA49" s="59" t="str">
        <f t="shared" si="4"/>
        <v/>
      </c>
      <c r="CB49" s="59" t="str">
        <f t="shared" si="5"/>
        <v>NA</v>
      </c>
      <c r="CC49" s="59" t="str">
        <f t="shared" si="6"/>
        <v/>
      </c>
      <c r="CD49" s="59" t="str">
        <f t="shared" si="7"/>
        <v>NA</v>
      </c>
      <c r="CE49" s="59" t="str">
        <f t="shared" si="8"/>
        <v/>
      </c>
      <c r="CF49" s="59" t="str">
        <f t="shared" si="9"/>
        <v>NA</v>
      </c>
      <c r="CG49" s="59" t="str">
        <f t="shared" ca="1" si="10"/>
        <v>NA</v>
      </c>
      <c r="CH49" s="59" t="str">
        <f t="shared" ca="1" si="11"/>
        <v>NA</v>
      </c>
      <c r="CI49" s="59" t="str">
        <f t="shared" ca="1" si="12"/>
        <v>MAYOR A 45 DIAS</v>
      </c>
      <c r="CJ49" s="59" t="str">
        <f t="shared" ca="1" si="13"/>
        <v>MAYOR A 45 DIAS</v>
      </c>
      <c r="CK49" s="59" t="str">
        <f t="shared" ca="1" si="14"/>
        <v>MAYOR A 45 DIAS</v>
      </c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>
        <f t="shared" si="43"/>
        <v>0</v>
      </c>
      <c r="DH49" s="8">
        <f t="shared" si="79"/>
        <v>0</v>
      </c>
      <c r="DI49" s="8">
        <f t="shared" si="44"/>
        <v>0</v>
      </c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59" t="str">
        <f t="shared" si="45"/>
        <v>NA</v>
      </c>
      <c r="DU49" s="59" t="str">
        <f t="shared" si="46"/>
        <v>NA</v>
      </c>
      <c r="DV49" s="59" t="str">
        <f t="shared" si="47"/>
        <v>NA</v>
      </c>
      <c r="DW49" s="59" t="str">
        <f t="shared" si="48"/>
        <v>NA</v>
      </c>
      <c r="DX49" s="59" t="str">
        <f t="shared" si="49"/>
        <v>NA</v>
      </c>
      <c r="DY49" s="59" t="str">
        <f t="shared" si="50"/>
        <v>NA</v>
      </c>
      <c r="DZ49" s="59" t="str">
        <f t="shared" si="51"/>
        <v>NA</v>
      </c>
      <c r="EA49" s="59" t="str">
        <f t="shared" si="52"/>
        <v>NA</v>
      </c>
      <c r="EB49" s="59" t="str">
        <f t="shared" si="53"/>
        <v>NA</v>
      </c>
      <c r="EC49" s="59" t="str">
        <f t="shared" si="54"/>
        <v>NA</v>
      </c>
      <c r="ED49" s="59" t="str">
        <f t="shared" si="55"/>
        <v/>
      </c>
      <c r="EE49" s="59" t="str">
        <f t="shared" si="56"/>
        <v/>
      </c>
      <c r="EF49" s="59" t="str">
        <f t="shared" si="57"/>
        <v/>
      </c>
      <c r="EG49" s="59" t="str">
        <f t="shared" si="58"/>
        <v/>
      </c>
      <c r="EH49" s="59" t="str">
        <f t="shared" si="59"/>
        <v/>
      </c>
      <c r="EI49" s="59" t="str">
        <f t="shared" si="60"/>
        <v/>
      </c>
      <c r="EJ49" s="59" t="str">
        <f t="shared" si="61"/>
        <v/>
      </c>
      <c r="EK49" s="59" t="str">
        <f t="shared" si="62"/>
        <v/>
      </c>
      <c r="EL49" s="59" t="str">
        <f t="shared" si="63"/>
        <v/>
      </c>
      <c r="EM49" s="59" t="str">
        <f t="shared" si="64"/>
        <v/>
      </c>
      <c r="EN49" s="59" t="str">
        <f t="shared" si="65"/>
        <v/>
      </c>
      <c r="EO49" s="59" t="str">
        <f t="shared" si="66"/>
        <v/>
      </c>
      <c r="EP49" s="59" t="str">
        <f t="shared" si="67"/>
        <v/>
      </c>
      <c r="EQ49" s="59" t="str">
        <f t="shared" si="68"/>
        <v/>
      </c>
      <c r="ER49" s="59" t="str">
        <f t="shared" si="69"/>
        <v/>
      </c>
      <c r="ES49" s="59" t="str">
        <f t="shared" si="70"/>
        <v/>
      </c>
      <c r="ET49" s="59" t="str">
        <f t="shared" si="71"/>
        <v/>
      </c>
      <c r="EU49" s="59" t="str">
        <f t="shared" si="72"/>
        <v/>
      </c>
      <c r="EV49" s="59" t="str">
        <f t="shared" si="73"/>
        <v/>
      </c>
      <c r="EW49" s="59" t="str">
        <f t="shared" si="74"/>
        <v/>
      </c>
      <c r="EX49" s="56">
        <f t="shared" si="26"/>
        <v>1135000</v>
      </c>
    </row>
    <row r="50" spans="1:154" x14ac:dyDescent="0.25">
      <c r="A50" s="2">
        <f t="shared" si="75"/>
        <v>49</v>
      </c>
      <c r="B50" s="2" t="s">
        <v>6</v>
      </c>
      <c r="C50" s="2" t="str">
        <f t="shared" si="27"/>
        <v>020415</v>
      </c>
      <c r="D50" s="2">
        <v>2</v>
      </c>
      <c r="E50" s="2">
        <v>4</v>
      </c>
      <c r="F50" s="2">
        <v>15</v>
      </c>
      <c r="G50" s="11" t="s">
        <v>12</v>
      </c>
      <c r="H50" s="4"/>
      <c r="I50" s="42" t="s">
        <v>58</v>
      </c>
      <c r="J50" s="9">
        <v>80</v>
      </c>
      <c r="K50" s="5"/>
      <c r="L50" s="6" t="s">
        <v>306</v>
      </c>
      <c r="M50" s="24" t="s">
        <v>178</v>
      </c>
      <c r="N50" s="7">
        <f t="shared" si="76"/>
        <v>1126000</v>
      </c>
      <c r="O50" s="8">
        <v>88</v>
      </c>
      <c r="P50" s="25">
        <v>41243</v>
      </c>
      <c r="Q50" s="8" t="str">
        <f t="shared" si="28"/>
        <v>2DA-NOV</v>
      </c>
      <c r="R50" s="26">
        <v>0</v>
      </c>
      <c r="S50" s="41" t="s">
        <v>34</v>
      </c>
      <c r="T50" s="8" t="s">
        <v>353</v>
      </c>
      <c r="U50" s="8"/>
      <c r="V50" s="7">
        <v>563000</v>
      </c>
      <c r="W50" s="7">
        <f>+V50*0.05</f>
        <v>28150</v>
      </c>
      <c r="X50" s="7">
        <f t="shared" si="29"/>
        <v>534850</v>
      </c>
      <c r="Y50" s="7">
        <v>0</v>
      </c>
      <c r="Z50" s="7">
        <f t="shared" si="30"/>
        <v>28150</v>
      </c>
      <c r="AA50" s="148" t="str">
        <f t="shared" si="31"/>
        <v>5%</v>
      </c>
      <c r="AB50" s="148">
        <f t="shared" si="32"/>
        <v>0.95</v>
      </c>
      <c r="AC50" s="25">
        <v>41096</v>
      </c>
      <c r="AD50" s="25">
        <v>41096</v>
      </c>
      <c r="AE50" s="25">
        <v>41096</v>
      </c>
      <c r="AF50" s="8"/>
      <c r="AG50" s="59" t="str">
        <f t="shared" ca="1" si="34"/>
        <v>NA</v>
      </c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59" t="str">
        <f t="shared" si="90"/>
        <v>NA</v>
      </c>
      <c r="AS50" s="59" t="str">
        <f t="shared" si="91"/>
        <v/>
      </c>
      <c r="AT50" s="59"/>
      <c r="AU50" s="59" t="str">
        <f t="shared" si="1"/>
        <v>ND</v>
      </c>
      <c r="AV50" s="66"/>
      <c r="AW50" s="66"/>
      <c r="AX50" s="66"/>
      <c r="AY50" s="66"/>
      <c r="AZ50" s="8"/>
      <c r="BA50" s="8" t="s">
        <v>37</v>
      </c>
      <c r="BB50" s="8"/>
      <c r="BC50" s="8"/>
      <c r="BD50" s="8"/>
      <c r="BE50" s="8"/>
      <c r="BF50" s="8"/>
      <c r="BG50" s="8"/>
      <c r="BH50" s="8"/>
      <c r="BI50" s="8"/>
      <c r="BJ50" s="8"/>
      <c r="BK50" s="59"/>
      <c r="BL50" s="59"/>
      <c r="BM50" s="59"/>
      <c r="BN50" s="164">
        <v>0.01</v>
      </c>
      <c r="BO50" s="165">
        <f t="shared" si="37"/>
        <v>3753.3333333333335</v>
      </c>
      <c r="BP50" s="165">
        <f t="shared" ref="BP50:BQ50" si="144">BO50</f>
        <v>3753.3333333333335</v>
      </c>
      <c r="BQ50" s="165">
        <f t="shared" si="144"/>
        <v>3753.3333333333335</v>
      </c>
      <c r="BR50" s="59"/>
      <c r="BS50" s="59"/>
      <c r="BT50" s="59"/>
      <c r="BU50" s="59"/>
      <c r="BV50" s="59" t="str">
        <f t="shared" si="83"/>
        <v>ND</v>
      </c>
      <c r="BW50" s="59" t="str">
        <f t="shared" si="84"/>
        <v>ND</v>
      </c>
      <c r="BX50" s="59" t="str">
        <f t="shared" si="85"/>
        <v>ND</v>
      </c>
      <c r="BY50" s="59" t="str">
        <f t="shared" si="86"/>
        <v>ND</v>
      </c>
      <c r="BZ50" s="59" t="str">
        <f t="shared" si="3"/>
        <v>NA</v>
      </c>
      <c r="CA50" s="59" t="str">
        <f t="shared" si="4"/>
        <v/>
      </c>
      <c r="CB50" s="59" t="str">
        <f t="shared" si="5"/>
        <v>NA</v>
      </c>
      <c r="CC50" s="59" t="str">
        <f t="shared" si="6"/>
        <v/>
      </c>
      <c r="CD50" s="59" t="str">
        <f t="shared" si="7"/>
        <v>NA</v>
      </c>
      <c r="CE50" s="59" t="str">
        <f t="shared" si="8"/>
        <v/>
      </c>
      <c r="CF50" s="59" t="str">
        <f t="shared" si="9"/>
        <v>NA</v>
      </c>
      <c r="CG50" s="59" t="str">
        <f t="shared" ca="1" si="10"/>
        <v>NA</v>
      </c>
      <c r="CH50" s="59" t="str">
        <f t="shared" ca="1" si="11"/>
        <v>NA</v>
      </c>
      <c r="CI50" s="59" t="str">
        <f t="shared" ca="1" si="12"/>
        <v>DE 26 A 29 DIAS</v>
      </c>
      <c r="CJ50" s="59" t="str">
        <f t="shared" ca="1" si="13"/>
        <v>DE 26 A 29 DIAS</v>
      </c>
      <c r="CK50" s="59" t="str">
        <f t="shared" ca="1" si="14"/>
        <v>DE 26 A 29 DIAS</v>
      </c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>
        <f t="shared" si="43"/>
        <v>0</v>
      </c>
      <c r="DH50" s="8">
        <f t="shared" si="79"/>
        <v>0</v>
      </c>
      <c r="DI50" s="8">
        <f t="shared" si="44"/>
        <v>0</v>
      </c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59" t="str">
        <f t="shared" si="45"/>
        <v>NA</v>
      </c>
      <c r="DU50" s="59" t="str">
        <f t="shared" si="46"/>
        <v>NA</v>
      </c>
      <c r="DV50" s="59" t="str">
        <f t="shared" si="47"/>
        <v>NA</v>
      </c>
      <c r="DW50" s="59" t="str">
        <f t="shared" si="48"/>
        <v>NA</v>
      </c>
      <c r="DX50" s="59" t="str">
        <f t="shared" si="49"/>
        <v>NA</v>
      </c>
      <c r="DY50" s="59" t="str">
        <f t="shared" si="50"/>
        <v>NA</v>
      </c>
      <c r="DZ50" s="59" t="str">
        <f t="shared" si="51"/>
        <v>NA</v>
      </c>
      <c r="EA50" s="59" t="str">
        <f t="shared" si="52"/>
        <v>NA</v>
      </c>
      <c r="EB50" s="59" t="str">
        <f t="shared" si="53"/>
        <v>NA</v>
      </c>
      <c r="EC50" s="59" t="str">
        <f t="shared" si="54"/>
        <v>NA</v>
      </c>
      <c r="ED50" s="59" t="str">
        <f t="shared" si="55"/>
        <v/>
      </c>
      <c r="EE50" s="59" t="str">
        <f t="shared" si="56"/>
        <v/>
      </c>
      <c r="EF50" s="59" t="str">
        <f t="shared" si="57"/>
        <v/>
      </c>
      <c r="EG50" s="59" t="str">
        <f t="shared" si="58"/>
        <v/>
      </c>
      <c r="EH50" s="59" t="str">
        <f t="shared" si="59"/>
        <v/>
      </c>
      <c r="EI50" s="59" t="str">
        <f t="shared" si="60"/>
        <v/>
      </c>
      <c r="EJ50" s="59" t="str">
        <f t="shared" si="61"/>
        <v/>
      </c>
      <c r="EK50" s="59" t="str">
        <f t="shared" si="62"/>
        <v/>
      </c>
      <c r="EL50" s="59" t="str">
        <f t="shared" si="63"/>
        <v/>
      </c>
      <c r="EM50" s="59" t="str">
        <f t="shared" si="64"/>
        <v/>
      </c>
      <c r="EN50" s="59" t="str">
        <f t="shared" si="65"/>
        <v/>
      </c>
      <c r="EO50" s="59" t="str">
        <f t="shared" si="66"/>
        <v/>
      </c>
      <c r="EP50" s="59" t="str">
        <f t="shared" si="67"/>
        <v/>
      </c>
      <c r="EQ50" s="59" t="str">
        <f t="shared" si="68"/>
        <v/>
      </c>
      <c r="ER50" s="59" t="str">
        <f t="shared" si="69"/>
        <v/>
      </c>
      <c r="ES50" s="59" t="str">
        <f t="shared" si="70"/>
        <v/>
      </c>
      <c r="ET50" s="59" t="str">
        <f t="shared" si="71"/>
        <v/>
      </c>
      <c r="EU50" s="59" t="str">
        <f t="shared" si="72"/>
        <v/>
      </c>
      <c r="EV50" s="59" t="str">
        <f t="shared" si="73"/>
        <v/>
      </c>
      <c r="EW50" s="59" t="str">
        <f t="shared" si="74"/>
        <v/>
      </c>
      <c r="EX50" s="56">
        <f t="shared" si="26"/>
        <v>1126000</v>
      </c>
    </row>
    <row r="51" spans="1:154" x14ac:dyDescent="0.25">
      <c r="A51" s="2">
        <f t="shared" si="75"/>
        <v>50</v>
      </c>
      <c r="B51" s="2" t="s">
        <v>6</v>
      </c>
      <c r="C51" s="2" t="str">
        <f t="shared" si="27"/>
        <v>020416</v>
      </c>
      <c r="D51" s="2">
        <v>2</v>
      </c>
      <c r="E51" s="2">
        <v>4</v>
      </c>
      <c r="F51" s="2">
        <v>16</v>
      </c>
      <c r="G51" s="11" t="s">
        <v>12</v>
      </c>
      <c r="H51" s="4"/>
      <c r="I51" s="42" t="s">
        <v>58</v>
      </c>
      <c r="J51" s="9">
        <v>80</v>
      </c>
      <c r="K51" s="5"/>
      <c r="L51" s="6" t="s">
        <v>306</v>
      </c>
      <c r="M51" s="24" t="s">
        <v>178</v>
      </c>
      <c r="N51" s="7">
        <f t="shared" si="76"/>
        <v>1126000</v>
      </c>
      <c r="O51" s="8">
        <v>89</v>
      </c>
      <c r="P51" s="25">
        <v>41243</v>
      </c>
      <c r="Q51" s="8" t="str">
        <f t="shared" si="28"/>
        <v>2DA-NOV</v>
      </c>
      <c r="R51" s="26">
        <v>0</v>
      </c>
      <c r="S51" s="41" t="s">
        <v>34</v>
      </c>
      <c r="T51" s="8" t="s">
        <v>353</v>
      </c>
      <c r="U51" s="8"/>
      <c r="V51" s="7">
        <v>563000</v>
      </c>
      <c r="W51" s="7">
        <f t="shared" ref="W51:W61" si="145">+V51*0.05</f>
        <v>28150</v>
      </c>
      <c r="X51" s="7">
        <f t="shared" si="29"/>
        <v>534850</v>
      </c>
      <c r="Y51" s="7">
        <v>0</v>
      </c>
      <c r="Z51" s="7">
        <f t="shared" si="30"/>
        <v>28150</v>
      </c>
      <c r="AA51" s="148" t="str">
        <f t="shared" si="31"/>
        <v>5%</v>
      </c>
      <c r="AB51" s="148">
        <f t="shared" si="32"/>
        <v>0.95</v>
      </c>
      <c r="AC51" s="25">
        <v>40982</v>
      </c>
      <c r="AD51" s="25">
        <v>40982</v>
      </c>
      <c r="AE51" s="25">
        <v>40982</v>
      </c>
      <c r="AF51" s="8"/>
      <c r="AG51" s="59" t="str">
        <f t="shared" ca="1" si="34"/>
        <v>NA</v>
      </c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59" t="str">
        <f t="shared" si="90"/>
        <v>NA</v>
      </c>
      <c r="AS51" s="59" t="str">
        <f t="shared" si="91"/>
        <v/>
      </c>
      <c r="AT51" s="59"/>
      <c r="AU51" s="59" t="str">
        <f t="shared" si="1"/>
        <v>ND</v>
      </c>
      <c r="AV51" s="66"/>
      <c r="AW51" s="66"/>
      <c r="AX51" s="66"/>
      <c r="AY51" s="66"/>
      <c r="AZ51" s="8"/>
      <c r="BA51" s="8" t="s">
        <v>37</v>
      </c>
      <c r="BB51" s="8"/>
      <c r="BC51" s="8"/>
      <c r="BD51" s="8"/>
      <c r="BE51" s="8"/>
      <c r="BF51" s="8"/>
      <c r="BG51" s="8"/>
      <c r="BH51" s="8"/>
      <c r="BI51" s="8"/>
      <c r="BJ51" s="8"/>
      <c r="BK51" s="59"/>
      <c r="BL51" s="59"/>
      <c r="BM51" s="59"/>
      <c r="BN51" s="164">
        <v>0.01</v>
      </c>
      <c r="BO51" s="165">
        <f t="shared" si="37"/>
        <v>3753.3333333333335</v>
      </c>
      <c r="BP51" s="165">
        <f t="shared" ref="BP51:BQ51" si="146">BO51</f>
        <v>3753.3333333333335</v>
      </c>
      <c r="BQ51" s="165">
        <f t="shared" si="146"/>
        <v>3753.3333333333335</v>
      </c>
      <c r="BR51" s="59"/>
      <c r="BS51" s="59"/>
      <c r="BT51" s="59"/>
      <c r="BU51" s="59"/>
      <c r="BV51" s="59" t="str">
        <f t="shared" si="83"/>
        <v>ND</v>
      </c>
      <c r="BW51" s="59" t="str">
        <f t="shared" si="84"/>
        <v>ND</v>
      </c>
      <c r="BX51" s="59" t="str">
        <f t="shared" si="85"/>
        <v>ND</v>
      </c>
      <c r="BY51" s="59" t="str">
        <f t="shared" si="86"/>
        <v>ND</v>
      </c>
      <c r="BZ51" s="59" t="str">
        <f t="shared" si="3"/>
        <v>NA</v>
      </c>
      <c r="CA51" s="59" t="str">
        <f t="shared" si="4"/>
        <v/>
      </c>
      <c r="CB51" s="59" t="str">
        <f t="shared" si="5"/>
        <v>NA</v>
      </c>
      <c r="CC51" s="59" t="str">
        <f t="shared" si="6"/>
        <v/>
      </c>
      <c r="CD51" s="59" t="str">
        <f t="shared" si="7"/>
        <v>NA</v>
      </c>
      <c r="CE51" s="59" t="str">
        <f t="shared" si="8"/>
        <v/>
      </c>
      <c r="CF51" s="59" t="str">
        <f t="shared" si="9"/>
        <v>NA</v>
      </c>
      <c r="CG51" s="59" t="str">
        <f t="shared" ca="1" si="10"/>
        <v>NA</v>
      </c>
      <c r="CH51" s="59" t="str">
        <f t="shared" ca="1" si="11"/>
        <v>NA</v>
      </c>
      <c r="CI51" s="59" t="str">
        <f t="shared" ca="1" si="12"/>
        <v>MAYOR A 45 DIAS</v>
      </c>
      <c r="CJ51" s="59" t="str">
        <f t="shared" ca="1" si="13"/>
        <v>MAYOR A 45 DIAS</v>
      </c>
      <c r="CK51" s="59" t="str">
        <f t="shared" ca="1" si="14"/>
        <v>MAYOR A 45 DIAS</v>
      </c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>
        <f t="shared" si="43"/>
        <v>0</v>
      </c>
      <c r="DH51" s="8">
        <f t="shared" si="79"/>
        <v>0</v>
      </c>
      <c r="DI51" s="8">
        <f t="shared" si="44"/>
        <v>0</v>
      </c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59" t="str">
        <f t="shared" si="45"/>
        <v>NA</v>
      </c>
      <c r="DU51" s="59" t="str">
        <f t="shared" si="46"/>
        <v>NA</v>
      </c>
      <c r="DV51" s="59" t="str">
        <f t="shared" si="47"/>
        <v>NA</v>
      </c>
      <c r="DW51" s="59" t="str">
        <f t="shared" si="48"/>
        <v>NA</v>
      </c>
      <c r="DX51" s="59" t="str">
        <f t="shared" si="49"/>
        <v>NA</v>
      </c>
      <c r="DY51" s="59" t="str">
        <f t="shared" si="50"/>
        <v>NA</v>
      </c>
      <c r="DZ51" s="59" t="str">
        <f t="shared" si="51"/>
        <v>NA</v>
      </c>
      <c r="EA51" s="59" t="str">
        <f t="shared" si="52"/>
        <v>NA</v>
      </c>
      <c r="EB51" s="59" t="str">
        <f t="shared" si="53"/>
        <v>NA</v>
      </c>
      <c r="EC51" s="59" t="str">
        <f t="shared" si="54"/>
        <v>NA</v>
      </c>
      <c r="ED51" s="59" t="str">
        <f t="shared" si="55"/>
        <v/>
      </c>
      <c r="EE51" s="59" t="str">
        <f t="shared" si="56"/>
        <v/>
      </c>
      <c r="EF51" s="59" t="str">
        <f t="shared" si="57"/>
        <v/>
      </c>
      <c r="EG51" s="59" t="str">
        <f t="shared" si="58"/>
        <v/>
      </c>
      <c r="EH51" s="59" t="str">
        <f t="shared" si="59"/>
        <v/>
      </c>
      <c r="EI51" s="59" t="str">
        <f t="shared" si="60"/>
        <v/>
      </c>
      <c r="EJ51" s="59" t="str">
        <f t="shared" si="61"/>
        <v/>
      </c>
      <c r="EK51" s="59" t="str">
        <f t="shared" si="62"/>
        <v/>
      </c>
      <c r="EL51" s="59" t="str">
        <f t="shared" si="63"/>
        <v/>
      </c>
      <c r="EM51" s="59" t="str">
        <f t="shared" si="64"/>
        <v/>
      </c>
      <c r="EN51" s="59" t="str">
        <f t="shared" si="65"/>
        <v/>
      </c>
      <c r="EO51" s="59" t="str">
        <f t="shared" si="66"/>
        <v/>
      </c>
      <c r="EP51" s="59" t="str">
        <f t="shared" si="67"/>
        <v/>
      </c>
      <c r="EQ51" s="59" t="str">
        <f t="shared" si="68"/>
        <v/>
      </c>
      <c r="ER51" s="59" t="str">
        <f t="shared" si="69"/>
        <v/>
      </c>
      <c r="ES51" s="59" t="str">
        <f t="shared" si="70"/>
        <v/>
      </c>
      <c r="ET51" s="59" t="str">
        <f t="shared" si="71"/>
        <v/>
      </c>
      <c r="EU51" s="59" t="str">
        <f t="shared" si="72"/>
        <v/>
      </c>
      <c r="EV51" s="59" t="str">
        <f t="shared" si="73"/>
        <v/>
      </c>
      <c r="EW51" s="59" t="str">
        <f t="shared" si="74"/>
        <v/>
      </c>
      <c r="EX51" s="56">
        <f t="shared" si="26"/>
        <v>1126000</v>
      </c>
    </row>
    <row r="52" spans="1:154" x14ac:dyDescent="0.25">
      <c r="A52" s="2">
        <f t="shared" si="75"/>
        <v>51</v>
      </c>
      <c r="B52" s="2" t="s">
        <v>6</v>
      </c>
      <c r="C52" s="2" t="str">
        <f t="shared" si="27"/>
        <v>020417</v>
      </c>
      <c r="D52" s="2">
        <v>2</v>
      </c>
      <c r="E52" s="2">
        <v>4</v>
      </c>
      <c r="F52" s="2">
        <v>17</v>
      </c>
      <c r="G52" s="11" t="s">
        <v>12</v>
      </c>
      <c r="H52" s="4"/>
      <c r="I52" s="42" t="s">
        <v>58</v>
      </c>
      <c r="J52" s="9">
        <v>82.852999999999994</v>
      </c>
      <c r="K52" s="9"/>
      <c r="L52" s="10" t="s">
        <v>8</v>
      </c>
      <c r="M52" s="24" t="s">
        <v>178</v>
      </c>
      <c r="N52" s="7">
        <f t="shared" si="76"/>
        <v>1145841.3999999999</v>
      </c>
      <c r="O52" s="8">
        <v>90</v>
      </c>
      <c r="P52" s="25">
        <v>41243</v>
      </c>
      <c r="Q52" s="8" t="str">
        <f t="shared" si="28"/>
        <v>2DA-NOV</v>
      </c>
      <c r="R52" s="26">
        <v>0</v>
      </c>
      <c r="S52" s="41" t="s">
        <v>34</v>
      </c>
      <c r="T52" s="8" t="s">
        <v>353</v>
      </c>
      <c r="U52" s="8"/>
      <c r="V52" s="7">
        <v>572920.69999999995</v>
      </c>
      <c r="W52" s="7">
        <f t="shared" si="145"/>
        <v>28646.035</v>
      </c>
      <c r="X52" s="7">
        <f t="shared" si="29"/>
        <v>544274.66499999992</v>
      </c>
      <c r="Y52" s="7">
        <v>0</v>
      </c>
      <c r="Z52" s="7">
        <f t="shared" si="30"/>
        <v>28646.035</v>
      </c>
      <c r="AA52" s="148" t="str">
        <f t="shared" si="31"/>
        <v>5%</v>
      </c>
      <c r="AB52" s="148">
        <f t="shared" si="32"/>
        <v>0.95</v>
      </c>
      <c r="AC52" s="25">
        <v>41106</v>
      </c>
      <c r="AD52" s="25">
        <v>41106</v>
      </c>
      <c r="AE52" s="25">
        <v>41106</v>
      </c>
      <c r="AF52" s="8"/>
      <c r="AG52" s="59" t="str">
        <f t="shared" ca="1" si="34"/>
        <v>NA</v>
      </c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59" t="str">
        <f t="shared" si="90"/>
        <v>NA</v>
      </c>
      <c r="AS52" s="59" t="str">
        <f t="shared" si="91"/>
        <v/>
      </c>
      <c r="AT52" s="59"/>
      <c r="AU52" s="59" t="str">
        <f t="shared" si="1"/>
        <v>ND</v>
      </c>
      <c r="AV52" s="66"/>
      <c r="AW52" s="66"/>
      <c r="AX52" s="66"/>
      <c r="AY52" s="66"/>
      <c r="AZ52" s="8"/>
      <c r="BA52" s="8" t="s">
        <v>37</v>
      </c>
      <c r="BB52" s="8"/>
      <c r="BC52" s="8"/>
      <c r="BD52" s="8"/>
      <c r="BE52" s="8"/>
      <c r="BF52" s="8"/>
      <c r="BG52" s="8"/>
      <c r="BH52" s="8"/>
      <c r="BI52" s="8"/>
      <c r="BJ52" s="8"/>
      <c r="BK52" s="59"/>
      <c r="BL52" s="59"/>
      <c r="BM52" s="59"/>
      <c r="BN52" s="164">
        <v>0.01</v>
      </c>
      <c r="BO52" s="165">
        <f t="shared" si="37"/>
        <v>3819.471333333333</v>
      </c>
      <c r="BP52" s="165">
        <f t="shared" ref="BP52:BQ52" si="147">BO52</f>
        <v>3819.471333333333</v>
      </c>
      <c r="BQ52" s="165">
        <f t="shared" si="147"/>
        <v>3819.471333333333</v>
      </c>
      <c r="BR52" s="59"/>
      <c r="BS52" s="59"/>
      <c r="BT52" s="59"/>
      <c r="BU52" s="59"/>
      <c r="BV52" s="59" t="str">
        <f t="shared" si="83"/>
        <v>ND</v>
      </c>
      <c r="BW52" s="59" t="str">
        <f t="shared" si="84"/>
        <v>ND</v>
      </c>
      <c r="BX52" s="59" t="str">
        <f t="shared" si="85"/>
        <v>ND</v>
      </c>
      <c r="BY52" s="59" t="str">
        <f t="shared" si="86"/>
        <v>ND</v>
      </c>
      <c r="BZ52" s="59" t="str">
        <f t="shared" si="3"/>
        <v>NA</v>
      </c>
      <c r="CA52" s="59" t="str">
        <f t="shared" si="4"/>
        <v/>
      </c>
      <c r="CB52" s="59" t="str">
        <f t="shared" si="5"/>
        <v>NA</v>
      </c>
      <c r="CC52" s="59" t="str">
        <f t="shared" si="6"/>
        <v/>
      </c>
      <c r="CD52" s="59" t="str">
        <f t="shared" si="7"/>
        <v>NA</v>
      </c>
      <c r="CE52" s="59" t="str">
        <f t="shared" si="8"/>
        <v/>
      </c>
      <c r="CF52" s="59" t="str">
        <f t="shared" si="9"/>
        <v>NA</v>
      </c>
      <c r="CG52" s="59" t="str">
        <f t="shared" ca="1" si="10"/>
        <v>NA</v>
      </c>
      <c r="CH52" s="59" t="str">
        <f t="shared" ca="1" si="11"/>
        <v>NA</v>
      </c>
      <c r="CI52" s="59" t="str">
        <f t="shared" ca="1" si="12"/>
        <v>DE 16 A 20 DIAS</v>
      </c>
      <c r="CJ52" s="59" t="str">
        <f t="shared" ca="1" si="13"/>
        <v>DE 16 A 20 DIAS</v>
      </c>
      <c r="CK52" s="59" t="str">
        <f t="shared" ca="1" si="14"/>
        <v>DE 16 A 20 DIAS</v>
      </c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>
        <f t="shared" si="43"/>
        <v>0</v>
      </c>
      <c r="DH52" s="8">
        <f t="shared" si="79"/>
        <v>0</v>
      </c>
      <c r="DI52" s="8">
        <f t="shared" si="44"/>
        <v>0</v>
      </c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59" t="str">
        <f t="shared" si="45"/>
        <v>NA</v>
      </c>
      <c r="DU52" s="59" t="str">
        <f t="shared" si="46"/>
        <v>NA</v>
      </c>
      <c r="DV52" s="59" t="str">
        <f t="shared" si="47"/>
        <v>NA</v>
      </c>
      <c r="DW52" s="59" t="str">
        <f t="shared" si="48"/>
        <v>NA</v>
      </c>
      <c r="DX52" s="59" t="str">
        <f t="shared" si="49"/>
        <v>NA</v>
      </c>
      <c r="DY52" s="59" t="str">
        <f t="shared" si="50"/>
        <v>NA</v>
      </c>
      <c r="DZ52" s="59" t="str">
        <f t="shared" si="51"/>
        <v>NA</v>
      </c>
      <c r="EA52" s="59" t="str">
        <f t="shared" si="52"/>
        <v>NA</v>
      </c>
      <c r="EB52" s="59" t="str">
        <f t="shared" si="53"/>
        <v>NA</v>
      </c>
      <c r="EC52" s="59" t="str">
        <f t="shared" si="54"/>
        <v>NA</v>
      </c>
      <c r="ED52" s="59" t="str">
        <f t="shared" si="55"/>
        <v/>
      </c>
      <c r="EE52" s="59" t="str">
        <f t="shared" si="56"/>
        <v/>
      </c>
      <c r="EF52" s="59" t="str">
        <f t="shared" si="57"/>
        <v/>
      </c>
      <c r="EG52" s="59" t="str">
        <f t="shared" si="58"/>
        <v/>
      </c>
      <c r="EH52" s="59" t="str">
        <f t="shared" si="59"/>
        <v/>
      </c>
      <c r="EI52" s="59" t="str">
        <f t="shared" si="60"/>
        <v/>
      </c>
      <c r="EJ52" s="59" t="str">
        <f t="shared" si="61"/>
        <v/>
      </c>
      <c r="EK52" s="59" t="str">
        <f t="shared" si="62"/>
        <v/>
      </c>
      <c r="EL52" s="59" t="str">
        <f t="shared" si="63"/>
        <v/>
      </c>
      <c r="EM52" s="59" t="str">
        <f t="shared" si="64"/>
        <v/>
      </c>
      <c r="EN52" s="59" t="str">
        <f t="shared" si="65"/>
        <v/>
      </c>
      <c r="EO52" s="59" t="str">
        <f t="shared" si="66"/>
        <v/>
      </c>
      <c r="EP52" s="59" t="str">
        <f t="shared" si="67"/>
        <v/>
      </c>
      <c r="EQ52" s="59" t="str">
        <f t="shared" si="68"/>
        <v/>
      </c>
      <c r="ER52" s="59" t="str">
        <f t="shared" si="69"/>
        <v/>
      </c>
      <c r="ES52" s="59" t="str">
        <f t="shared" si="70"/>
        <v/>
      </c>
      <c r="ET52" s="59" t="str">
        <f t="shared" si="71"/>
        <v/>
      </c>
      <c r="EU52" s="59" t="str">
        <f t="shared" si="72"/>
        <v/>
      </c>
      <c r="EV52" s="59" t="str">
        <f t="shared" si="73"/>
        <v/>
      </c>
      <c r="EW52" s="59" t="str">
        <f t="shared" si="74"/>
        <v/>
      </c>
      <c r="EX52" s="56">
        <f t="shared" si="26"/>
        <v>1145841.3999999999</v>
      </c>
    </row>
    <row r="53" spans="1:154" x14ac:dyDescent="0.25">
      <c r="A53" s="2">
        <f t="shared" si="75"/>
        <v>52</v>
      </c>
      <c r="B53" s="2" t="s">
        <v>6</v>
      </c>
      <c r="C53" s="2" t="str">
        <f t="shared" si="27"/>
        <v>020501</v>
      </c>
      <c r="D53" s="2">
        <v>2</v>
      </c>
      <c r="E53" s="2">
        <v>5</v>
      </c>
      <c r="F53" s="2">
        <v>1</v>
      </c>
      <c r="G53" s="11" t="s">
        <v>13</v>
      </c>
      <c r="H53" s="4"/>
      <c r="I53" s="42" t="s">
        <v>58</v>
      </c>
      <c r="J53" s="9">
        <v>82.73</v>
      </c>
      <c r="K53" s="9"/>
      <c r="L53" s="10" t="s">
        <v>8</v>
      </c>
      <c r="M53" s="24" t="s">
        <v>178</v>
      </c>
      <c r="N53" s="7">
        <f t="shared" si="76"/>
        <v>1145374</v>
      </c>
      <c r="O53" s="8">
        <v>91</v>
      </c>
      <c r="P53" s="25">
        <v>41258</v>
      </c>
      <c r="Q53" s="8" t="str">
        <f t="shared" si="28"/>
        <v>2DA-DIC</v>
      </c>
      <c r="R53" s="26">
        <v>0</v>
      </c>
      <c r="S53" s="41" t="s">
        <v>34</v>
      </c>
      <c r="T53" s="8" t="s">
        <v>353</v>
      </c>
      <c r="U53" s="8"/>
      <c r="V53" s="7">
        <v>572687</v>
      </c>
      <c r="W53" s="7">
        <f t="shared" si="145"/>
        <v>28634.350000000002</v>
      </c>
      <c r="X53" s="7">
        <f t="shared" si="29"/>
        <v>544052.65</v>
      </c>
      <c r="Y53" s="7">
        <v>0</v>
      </c>
      <c r="Z53" s="7">
        <f t="shared" si="30"/>
        <v>28634.350000000002</v>
      </c>
      <c r="AA53" s="148" t="str">
        <f t="shared" si="31"/>
        <v>5%</v>
      </c>
      <c r="AB53" s="148">
        <f t="shared" si="32"/>
        <v>0.95</v>
      </c>
      <c r="AC53" s="25">
        <v>41090</v>
      </c>
      <c r="AD53" s="25">
        <v>41090</v>
      </c>
      <c r="AE53" s="25">
        <v>41090</v>
      </c>
      <c r="AF53" s="8"/>
      <c r="AG53" s="59" t="str">
        <f t="shared" ca="1" si="34"/>
        <v>NA</v>
      </c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59" t="str">
        <f t="shared" si="90"/>
        <v>NA</v>
      </c>
      <c r="AS53" s="59" t="str">
        <f t="shared" si="91"/>
        <v/>
      </c>
      <c r="AT53" s="59"/>
      <c r="AU53" s="59" t="str">
        <f t="shared" si="1"/>
        <v>ND</v>
      </c>
      <c r="AV53" s="66"/>
      <c r="AW53" s="66"/>
      <c r="AX53" s="66"/>
      <c r="AY53" s="66"/>
      <c r="AZ53" s="8"/>
      <c r="BA53" s="8" t="s">
        <v>37</v>
      </c>
      <c r="BB53" s="8"/>
      <c r="BC53" s="8"/>
      <c r="BD53" s="8"/>
      <c r="BE53" s="8"/>
      <c r="BF53" s="8"/>
      <c r="BG53" s="8"/>
      <c r="BH53" s="8"/>
      <c r="BI53" s="8"/>
      <c r="BJ53" s="8"/>
      <c r="BK53" s="59"/>
      <c r="BL53" s="59"/>
      <c r="BM53" s="59"/>
      <c r="BN53" s="164">
        <v>0.01</v>
      </c>
      <c r="BO53" s="165">
        <f t="shared" si="37"/>
        <v>3817.9133333333334</v>
      </c>
      <c r="BP53" s="165">
        <f t="shared" ref="BP53:BQ53" si="148">BO53</f>
        <v>3817.9133333333334</v>
      </c>
      <c r="BQ53" s="165">
        <f t="shared" si="148"/>
        <v>3817.9133333333334</v>
      </c>
      <c r="BR53" s="59"/>
      <c r="BS53" s="59"/>
      <c r="BT53" s="59"/>
      <c r="BU53" s="59"/>
      <c r="BV53" s="59" t="str">
        <f t="shared" si="83"/>
        <v>ND</v>
      </c>
      <c r="BW53" s="59" t="str">
        <f t="shared" si="84"/>
        <v>ND</v>
      </c>
      <c r="BX53" s="59" t="str">
        <f t="shared" si="85"/>
        <v>ND</v>
      </c>
      <c r="BY53" s="59" t="str">
        <f t="shared" si="86"/>
        <v>ND</v>
      </c>
      <c r="BZ53" s="59" t="str">
        <f t="shared" si="3"/>
        <v>NA</v>
      </c>
      <c r="CA53" s="59" t="str">
        <f t="shared" si="4"/>
        <v/>
      </c>
      <c r="CB53" s="59" t="str">
        <f t="shared" si="5"/>
        <v>NA</v>
      </c>
      <c r="CC53" s="59" t="str">
        <f t="shared" si="6"/>
        <v/>
      </c>
      <c r="CD53" s="59" t="str">
        <f t="shared" si="7"/>
        <v>NA</v>
      </c>
      <c r="CE53" s="59" t="str">
        <f t="shared" si="8"/>
        <v/>
      </c>
      <c r="CF53" s="59" t="str">
        <f t="shared" si="9"/>
        <v>NA</v>
      </c>
      <c r="CG53" s="59" t="str">
        <f t="shared" ca="1" si="10"/>
        <v>NA</v>
      </c>
      <c r="CH53" s="59" t="str">
        <f t="shared" ca="1" si="11"/>
        <v>NA</v>
      </c>
      <c r="CI53" s="59" t="str">
        <f t="shared" ca="1" si="12"/>
        <v>DE 31 A 35 DIAS</v>
      </c>
      <c r="CJ53" s="59" t="str">
        <f t="shared" ca="1" si="13"/>
        <v>DE 31 A 35 DIAS</v>
      </c>
      <c r="CK53" s="59" t="str">
        <f t="shared" ca="1" si="14"/>
        <v>DE 31 A 35 DIAS</v>
      </c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>
        <f t="shared" si="43"/>
        <v>0</v>
      </c>
      <c r="DH53" s="8">
        <f t="shared" si="79"/>
        <v>0</v>
      </c>
      <c r="DI53" s="8">
        <f t="shared" si="44"/>
        <v>0</v>
      </c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59" t="str">
        <f t="shared" si="45"/>
        <v>NA</v>
      </c>
      <c r="DU53" s="59" t="str">
        <f t="shared" si="46"/>
        <v>NA</v>
      </c>
      <c r="DV53" s="59" t="str">
        <f t="shared" si="47"/>
        <v>NA</v>
      </c>
      <c r="DW53" s="59" t="str">
        <f t="shared" si="48"/>
        <v>NA</v>
      </c>
      <c r="DX53" s="59" t="str">
        <f t="shared" si="49"/>
        <v>NA</v>
      </c>
      <c r="DY53" s="59" t="str">
        <f t="shared" si="50"/>
        <v>NA</v>
      </c>
      <c r="DZ53" s="59" t="str">
        <f t="shared" si="51"/>
        <v>NA</v>
      </c>
      <c r="EA53" s="59" t="str">
        <f t="shared" si="52"/>
        <v>NA</v>
      </c>
      <c r="EB53" s="59" t="str">
        <f t="shared" si="53"/>
        <v>NA</v>
      </c>
      <c r="EC53" s="59" t="str">
        <f t="shared" si="54"/>
        <v>NA</v>
      </c>
      <c r="ED53" s="59" t="str">
        <f t="shared" si="55"/>
        <v/>
      </c>
      <c r="EE53" s="59" t="str">
        <f t="shared" si="56"/>
        <v/>
      </c>
      <c r="EF53" s="59" t="str">
        <f t="shared" si="57"/>
        <v/>
      </c>
      <c r="EG53" s="59" t="str">
        <f t="shared" si="58"/>
        <v/>
      </c>
      <c r="EH53" s="59" t="str">
        <f t="shared" si="59"/>
        <v/>
      </c>
      <c r="EI53" s="59" t="str">
        <f t="shared" si="60"/>
        <v/>
      </c>
      <c r="EJ53" s="59" t="str">
        <f t="shared" si="61"/>
        <v/>
      </c>
      <c r="EK53" s="59" t="str">
        <f t="shared" si="62"/>
        <v/>
      </c>
      <c r="EL53" s="59" t="str">
        <f t="shared" si="63"/>
        <v/>
      </c>
      <c r="EM53" s="59" t="str">
        <f t="shared" si="64"/>
        <v/>
      </c>
      <c r="EN53" s="59" t="str">
        <f t="shared" si="65"/>
        <v/>
      </c>
      <c r="EO53" s="59" t="str">
        <f t="shared" si="66"/>
        <v/>
      </c>
      <c r="EP53" s="59" t="str">
        <f t="shared" si="67"/>
        <v/>
      </c>
      <c r="EQ53" s="59" t="str">
        <f t="shared" si="68"/>
        <v/>
      </c>
      <c r="ER53" s="59" t="str">
        <f t="shared" si="69"/>
        <v/>
      </c>
      <c r="ES53" s="59" t="str">
        <f t="shared" si="70"/>
        <v/>
      </c>
      <c r="ET53" s="59" t="str">
        <f t="shared" si="71"/>
        <v/>
      </c>
      <c r="EU53" s="59" t="str">
        <f t="shared" si="72"/>
        <v/>
      </c>
      <c r="EV53" s="59" t="str">
        <f t="shared" si="73"/>
        <v/>
      </c>
      <c r="EW53" s="59" t="str">
        <f t="shared" si="74"/>
        <v/>
      </c>
      <c r="EX53" s="56">
        <f t="shared" si="26"/>
        <v>1145374</v>
      </c>
    </row>
    <row r="54" spans="1:154" x14ac:dyDescent="0.25">
      <c r="A54" s="2">
        <f t="shared" si="75"/>
        <v>53</v>
      </c>
      <c r="B54" s="2" t="s">
        <v>6</v>
      </c>
      <c r="C54" s="2" t="str">
        <f t="shared" si="27"/>
        <v>020502</v>
      </c>
      <c r="D54" s="2">
        <v>2</v>
      </c>
      <c r="E54" s="2">
        <v>5</v>
      </c>
      <c r="F54" s="2">
        <v>2</v>
      </c>
      <c r="G54" s="11" t="s">
        <v>13</v>
      </c>
      <c r="H54" s="4"/>
      <c r="I54" s="42" t="s">
        <v>58</v>
      </c>
      <c r="J54" s="9">
        <v>80</v>
      </c>
      <c r="K54" s="5"/>
      <c r="L54" s="6" t="s">
        <v>306</v>
      </c>
      <c r="M54" s="24" t="s">
        <v>178</v>
      </c>
      <c r="N54" s="7">
        <f t="shared" si="76"/>
        <v>1126000</v>
      </c>
      <c r="O54" s="8">
        <v>92</v>
      </c>
      <c r="P54" s="25">
        <v>41258</v>
      </c>
      <c r="Q54" s="8" t="str">
        <f t="shared" si="28"/>
        <v>2DA-DIC</v>
      </c>
      <c r="R54" s="26">
        <v>0</v>
      </c>
      <c r="S54" s="41" t="s">
        <v>34</v>
      </c>
      <c r="T54" s="8" t="s">
        <v>353</v>
      </c>
      <c r="U54" s="8"/>
      <c r="V54" s="7">
        <v>563000</v>
      </c>
      <c r="W54" s="7">
        <f t="shared" si="145"/>
        <v>28150</v>
      </c>
      <c r="X54" s="7">
        <f t="shared" si="29"/>
        <v>534850</v>
      </c>
      <c r="Y54" s="7">
        <v>0</v>
      </c>
      <c r="Z54" s="7">
        <f t="shared" si="30"/>
        <v>28150</v>
      </c>
      <c r="AA54" s="148" t="str">
        <f t="shared" si="31"/>
        <v>5%</v>
      </c>
      <c r="AB54" s="148">
        <f t="shared" si="32"/>
        <v>0.95</v>
      </c>
      <c r="AC54" s="25">
        <v>41075</v>
      </c>
      <c r="AD54" s="25">
        <v>41075</v>
      </c>
      <c r="AE54" s="25">
        <v>41075</v>
      </c>
      <c r="AF54" s="8"/>
      <c r="AG54" s="59" t="str">
        <f t="shared" ca="1" si="34"/>
        <v>NA</v>
      </c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59" t="str">
        <f t="shared" si="90"/>
        <v>NA</v>
      </c>
      <c r="AS54" s="59" t="str">
        <f t="shared" si="91"/>
        <v/>
      </c>
      <c r="AT54" s="59"/>
      <c r="AU54" s="59" t="str">
        <f t="shared" si="1"/>
        <v>ND</v>
      </c>
      <c r="AV54" s="66"/>
      <c r="AW54" s="66"/>
      <c r="AX54" s="66"/>
      <c r="AY54" s="66"/>
      <c r="AZ54" s="8"/>
      <c r="BA54" s="8" t="s">
        <v>37</v>
      </c>
      <c r="BB54" s="8"/>
      <c r="BC54" s="8"/>
      <c r="BD54" s="8"/>
      <c r="BE54" s="8"/>
      <c r="BF54" s="8"/>
      <c r="BG54" s="8"/>
      <c r="BH54" s="8"/>
      <c r="BI54" s="8"/>
      <c r="BJ54" s="8"/>
      <c r="BK54" s="59"/>
      <c r="BL54" s="59"/>
      <c r="BM54" s="59"/>
      <c r="BN54" s="164">
        <v>0.01</v>
      </c>
      <c r="BO54" s="165">
        <f t="shared" si="37"/>
        <v>3753.3333333333335</v>
      </c>
      <c r="BP54" s="165">
        <f t="shared" ref="BP54:BQ54" si="149">BO54</f>
        <v>3753.3333333333335</v>
      </c>
      <c r="BQ54" s="165">
        <f t="shared" si="149"/>
        <v>3753.3333333333335</v>
      </c>
      <c r="BR54" s="59"/>
      <c r="BS54" s="59"/>
      <c r="BT54" s="59"/>
      <c r="BU54" s="59"/>
      <c r="BV54" s="59" t="str">
        <f t="shared" si="83"/>
        <v>ND</v>
      </c>
      <c r="BW54" s="59" t="str">
        <f t="shared" si="84"/>
        <v>ND</v>
      </c>
      <c r="BX54" s="59" t="str">
        <f t="shared" si="85"/>
        <v>ND</v>
      </c>
      <c r="BY54" s="59" t="str">
        <f t="shared" si="86"/>
        <v>ND</v>
      </c>
      <c r="BZ54" s="59" t="str">
        <f t="shared" si="3"/>
        <v>NA</v>
      </c>
      <c r="CA54" s="59" t="str">
        <f t="shared" si="4"/>
        <v/>
      </c>
      <c r="CB54" s="59" t="str">
        <f t="shared" si="5"/>
        <v>NA</v>
      </c>
      <c r="CC54" s="59" t="str">
        <f t="shared" si="6"/>
        <v/>
      </c>
      <c r="CD54" s="59" t="str">
        <f t="shared" si="7"/>
        <v>NA</v>
      </c>
      <c r="CE54" s="59" t="str">
        <f t="shared" si="8"/>
        <v/>
      </c>
      <c r="CF54" s="59" t="str">
        <f t="shared" si="9"/>
        <v>NA</v>
      </c>
      <c r="CG54" s="59" t="str">
        <f t="shared" ca="1" si="10"/>
        <v>NA</v>
      </c>
      <c r="CH54" s="59" t="str">
        <f t="shared" ca="1" si="11"/>
        <v>NA</v>
      </c>
      <c r="CI54" s="59" t="str">
        <f t="shared" ca="1" si="12"/>
        <v>MAYOR A 45 DIAS</v>
      </c>
      <c r="CJ54" s="59" t="str">
        <f t="shared" ca="1" si="13"/>
        <v>MAYOR A 45 DIAS</v>
      </c>
      <c r="CK54" s="59" t="str">
        <f t="shared" ca="1" si="14"/>
        <v>MAYOR A 45 DIAS</v>
      </c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>
        <f t="shared" si="43"/>
        <v>0</v>
      </c>
      <c r="DH54" s="8">
        <f t="shared" si="79"/>
        <v>0</v>
      </c>
      <c r="DI54" s="8">
        <f t="shared" si="44"/>
        <v>0</v>
      </c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59" t="str">
        <f t="shared" si="45"/>
        <v>NA</v>
      </c>
      <c r="DU54" s="59" t="str">
        <f t="shared" si="46"/>
        <v>NA</v>
      </c>
      <c r="DV54" s="59" t="str">
        <f t="shared" si="47"/>
        <v>NA</v>
      </c>
      <c r="DW54" s="59" t="str">
        <f t="shared" si="48"/>
        <v>NA</v>
      </c>
      <c r="DX54" s="59" t="str">
        <f t="shared" si="49"/>
        <v>NA</v>
      </c>
      <c r="DY54" s="59" t="str">
        <f t="shared" si="50"/>
        <v>NA</v>
      </c>
      <c r="DZ54" s="59" t="str">
        <f t="shared" si="51"/>
        <v>NA</v>
      </c>
      <c r="EA54" s="59" t="str">
        <f t="shared" si="52"/>
        <v>NA</v>
      </c>
      <c r="EB54" s="59" t="str">
        <f t="shared" si="53"/>
        <v>NA</v>
      </c>
      <c r="EC54" s="59" t="str">
        <f t="shared" si="54"/>
        <v>NA</v>
      </c>
      <c r="ED54" s="59" t="str">
        <f t="shared" si="55"/>
        <v/>
      </c>
      <c r="EE54" s="59" t="str">
        <f t="shared" si="56"/>
        <v/>
      </c>
      <c r="EF54" s="59" t="str">
        <f t="shared" si="57"/>
        <v/>
      </c>
      <c r="EG54" s="59" t="str">
        <f t="shared" si="58"/>
        <v/>
      </c>
      <c r="EH54" s="59" t="str">
        <f t="shared" si="59"/>
        <v/>
      </c>
      <c r="EI54" s="59" t="str">
        <f t="shared" si="60"/>
        <v/>
      </c>
      <c r="EJ54" s="59" t="str">
        <f t="shared" si="61"/>
        <v/>
      </c>
      <c r="EK54" s="59" t="str">
        <f t="shared" si="62"/>
        <v/>
      </c>
      <c r="EL54" s="59" t="str">
        <f t="shared" si="63"/>
        <v/>
      </c>
      <c r="EM54" s="59" t="str">
        <f t="shared" si="64"/>
        <v/>
      </c>
      <c r="EN54" s="59" t="str">
        <f t="shared" si="65"/>
        <v/>
      </c>
      <c r="EO54" s="59" t="str">
        <f t="shared" si="66"/>
        <v/>
      </c>
      <c r="EP54" s="59" t="str">
        <f t="shared" si="67"/>
        <v/>
      </c>
      <c r="EQ54" s="59" t="str">
        <f t="shared" si="68"/>
        <v/>
      </c>
      <c r="ER54" s="59" t="str">
        <f t="shared" si="69"/>
        <v/>
      </c>
      <c r="ES54" s="59" t="str">
        <f t="shared" si="70"/>
        <v/>
      </c>
      <c r="ET54" s="59" t="str">
        <f t="shared" si="71"/>
        <v/>
      </c>
      <c r="EU54" s="59" t="str">
        <f t="shared" si="72"/>
        <v/>
      </c>
      <c r="EV54" s="59" t="str">
        <f t="shared" si="73"/>
        <v/>
      </c>
      <c r="EW54" s="59" t="str">
        <f t="shared" si="74"/>
        <v/>
      </c>
      <c r="EX54" s="56">
        <f t="shared" si="26"/>
        <v>1126000</v>
      </c>
    </row>
    <row r="55" spans="1:154" x14ac:dyDescent="0.25">
      <c r="A55" s="2">
        <f t="shared" si="75"/>
        <v>54</v>
      </c>
      <c r="B55" s="2" t="s">
        <v>6</v>
      </c>
      <c r="C55" s="2" t="str">
        <f t="shared" si="27"/>
        <v>020503</v>
      </c>
      <c r="D55" s="2">
        <v>2</v>
      </c>
      <c r="E55" s="2">
        <v>5</v>
      </c>
      <c r="F55" s="2">
        <v>3</v>
      </c>
      <c r="G55" s="11" t="s">
        <v>13</v>
      </c>
      <c r="H55" s="4"/>
      <c r="I55" s="42" t="s">
        <v>58</v>
      </c>
      <c r="J55" s="9">
        <v>80</v>
      </c>
      <c r="K55" s="5"/>
      <c r="L55" s="6" t="s">
        <v>306</v>
      </c>
      <c r="M55" s="24" t="s">
        <v>178</v>
      </c>
      <c r="N55" s="7">
        <f t="shared" si="76"/>
        <v>1126000</v>
      </c>
      <c r="O55" s="8">
        <v>93</v>
      </c>
      <c r="P55" s="25">
        <v>41258</v>
      </c>
      <c r="Q55" s="8" t="str">
        <f t="shared" si="28"/>
        <v>2DA-DIC</v>
      </c>
      <c r="R55" s="26">
        <v>0</v>
      </c>
      <c r="S55" s="41" t="s">
        <v>34</v>
      </c>
      <c r="T55" s="8" t="s">
        <v>353</v>
      </c>
      <c r="U55" s="8"/>
      <c r="V55" s="7">
        <v>563000</v>
      </c>
      <c r="W55" s="7">
        <f t="shared" si="145"/>
        <v>28150</v>
      </c>
      <c r="X55" s="7">
        <f t="shared" si="29"/>
        <v>534850</v>
      </c>
      <c r="Y55" s="7">
        <v>0</v>
      </c>
      <c r="Z55" s="7">
        <f t="shared" si="30"/>
        <v>28150</v>
      </c>
      <c r="AA55" s="148" t="str">
        <f t="shared" si="31"/>
        <v>5%</v>
      </c>
      <c r="AB55" s="148">
        <f t="shared" si="32"/>
        <v>0.95</v>
      </c>
      <c r="AC55" s="25">
        <v>41061</v>
      </c>
      <c r="AD55" s="25">
        <v>41061</v>
      </c>
      <c r="AE55" s="25">
        <v>41061</v>
      </c>
      <c r="AF55" s="8"/>
      <c r="AG55" s="59" t="str">
        <f t="shared" ca="1" si="34"/>
        <v>NA</v>
      </c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59" t="str">
        <f t="shared" si="90"/>
        <v>NA</v>
      </c>
      <c r="AS55" s="59" t="str">
        <f t="shared" si="91"/>
        <v/>
      </c>
      <c r="AT55" s="59"/>
      <c r="AU55" s="59" t="str">
        <f t="shared" si="1"/>
        <v>ND</v>
      </c>
      <c r="AV55" s="66"/>
      <c r="AW55" s="66"/>
      <c r="AX55" s="66"/>
      <c r="AY55" s="66"/>
      <c r="AZ55" s="8"/>
      <c r="BA55" s="8" t="s">
        <v>37</v>
      </c>
      <c r="BB55" s="8"/>
      <c r="BC55" s="8"/>
      <c r="BD55" s="8"/>
      <c r="BE55" s="8"/>
      <c r="BF55" s="8"/>
      <c r="BG55" s="8"/>
      <c r="BH55" s="8"/>
      <c r="BI55" s="8"/>
      <c r="BJ55" s="8"/>
      <c r="BK55" s="59"/>
      <c r="BL55" s="59"/>
      <c r="BM55" s="59"/>
      <c r="BN55" s="164">
        <v>0.01</v>
      </c>
      <c r="BO55" s="165">
        <f t="shared" si="37"/>
        <v>3753.3333333333335</v>
      </c>
      <c r="BP55" s="165">
        <f t="shared" ref="BP55:BQ55" si="150">BO55</f>
        <v>3753.3333333333335</v>
      </c>
      <c r="BQ55" s="165">
        <f t="shared" si="150"/>
        <v>3753.3333333333335</v>
      </c>
      <c r="BR55" s="59"/>
      <c r="BS55" s="59"/>
      <c r="BT55" s="59"/>
      <c r="BU55" s="59"/>
      <c r="BV55" s="59" t="str">
        <f t="shared" si="83"/>
        <v>ND</v>
      </c>
      <c r="BW55" s="59" t="str">
        <f t="shared" si="84"/>
        <v>ND</v>
      </c>
      <c r="BX55" s="59" t="str">
        <f t="shared" si="85"/>
        <v>ND</v>
      </c>
      <c r="BY55" s="59" t="str">
        <f t="shared" si="86"/>
        <v>ND</v>
      </c>
      <c r="BZ55" s="59" t="str">
        <f t="shared" si="3"/>
        <v>NA</v>
      </c>
      <c r="CA55" s="59" t="str">
        <f t="shared" si="4"/>
        <v/>
      </c>
      <c r="CB55" s="59" t="str">
        <f t="shared" si="5"/>
        <v>NA</v>
      </c>
      <c r="CC55" s="59" t="str">
        <f t="shared" si="6"/>
        <v/>
      </c>
      <c r="CD55" s="59" t="str">
        <f t="shared" si="7"/>
        <v>NA</v>
      </c>
      <c r="CE55" s="59" t="str">
        <f t="shared" si="8"/>
        <v/>
      </c>
      <c r="CF55" s="59" t="str">
        <f t="shared" si="9"/>
        <v>NA</v>
      </c>
      <c r="CG55" s="59" t="str">
        <f t="shared" ca="1" si="10"/>
        <v>NA</v>
      </c>
      <c r="CH55" s="59" t="str">
        <f t="shared" ca="1" si="11"/>
        <v>NA</v>
      </c>
      <c r="CI55" s="59" t="str">
        <f t="shared" ca="1" si="12"/>
        <v>MAYOR A 45 DIAS</v>
      </c>
      <c r="CJ55" s="59" t="str">
        <f t="shared" ca="1" si="13"/>
        <v>MAYOR A 45 DIAS</v>
      </c>
      <c r="CK55" s="59" t="str">
        <f t="shared" ca="1" si="14"/>
        <v>MAYOR A 45 DIAS</v>
      </c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>
        <f t="shared" si="43"/>
        <v>0</v>
      </c>
      <c r="DH55" s="8">
        <f t="shared" si="79"/>
        <v>0</v>
      </c>
      <c r="DI55" s="8">
        <f t="shared" si="44"/>
        <v>0</v>
      </c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59" t="str">
        <f t="shared" si="45"/>
        <v>NA</v>
      </c>
      <c r="DU55" s="59" t="str">
        <f t="shared" si="46"/>
        <v>NA</v>
      </c>
      <c r="DV55" s="59" t="str">
        <f t="shared" si="47"/>
        <v>NA</v>
      </c>
      <c r="DW55" s="59" t="str">
        <f t="shared" si="48"/>
        <v>NA</v>
      </c>
      <c r="DX55" s="59" t="str">
        <f t="shared" si="49"/>
        <v>NA</v>
      </c>
      <c r="DY55" s="59" t="str">
        <f t="shared" si="50"/>
        <v>NA</v>
      </c>
      <c r="DZ55" s="59" t="str">
        <f t="shared" si="51"/>
        <v>NA</v>
      </c>
      <c r="EA55" s="59" t="str">
        <f t="shared" si="52"/>
        <v>NA</v>
      </c>
      <c r="EB55" s="59" t="str">
        <f t="shared" si="53"/>
        <v>NA</v>
      </c>
      <c r="EC55" s="59" t="str">
        <f t="shared" si="54"/>
        <v>NA</v>
      </c>
      <c r="ED55" s="59" t="str">
        <f t="shared" si="55"/>
        <v/>
      </c>
      <c r="EE55" s="59" t="str">
        <f t="shared" si="56"/>
        <v/>
      </c>
      <c r="EF55" s="59" t="str">
        <f t="shared" si="57"/>
        <v/>
      </c>
      <c r="EG55" s="59" t="str">
        <f t="shared" si="58"/>
        <v/>
      </c>
      <c r="EH55" s="59" t="str">
        <f t="shared" si="59"/>
        <v/>
      </c>
      <c r="EI55" s="59" t="str">
        <f t="shared" si="60"/>
        <v/>
      </c>
      <c r="EJ55" s="59" t="str">
        <f t="shared" si="61"/>
        <v/>
      </c>
      <c r="EK55" s="59" t="str">
        <f t="shared" si="62"/>
        <v/>
      </c>
      <c r="EL55" s="59" t="str">
        <f t="shared" si="63"/>
        <v/>
      </c>
      <c r="EM55" s="59" t="str">
        <f t="shared" si="64"/>
        <v/>
      </c>
      <c r="EN55" s="59" t="str">
        <f t="shared" si="65"/>
        <v/>
      </c>
      <c r="EO55" s="59" t="str">
        <f t="shared" si="66"/>
        <v/>
      </c>
      <c r="EP55" s="59" t="str">
        <f t="shared" si="67"/>
        <v/>
      </c>
      <c r="EQ55" s="59" t="str">
        <f t="shared" si="68"/>
        <v/>
      </c>
      <c r="ER55" s="59" t="str">
        <f t="shared" si="69"/>
        <v/>
      </c>
      <c r="ES55" s="59" t="str">
        <f t="shared" si="70"/>
        <v/>
      </c>
      <c r="ET55" s="59" t="str">
        <f t="shared" si="71"/>
        <v/>
      </c>
      <c r="EU55" s="59" t="str">
        <f t="shared" si="72"/>
        <v/>
      </c>
      <c r="EV55" s="59" t="str">
        <f t="shared" si="73"/>
        <v/>
      </c>
      <c r="EW55" s="59" t="str">
        <f t="shared" si="74"/>
        <v/>
      </c>
      <c r="EX55" s="56">
        <f t="shared" si="26"/>
        <v>1126000</v>
      </c>
    </row>
    <row r="56" spans="1:154" x14ac:dyDescent="0.25">
      <c r="A56" s="2">
        <f t="shared" si="75"/>
        <v>55</v>
      </c>
      <c r="B56" s="2" t="s">
        <v>6</v>
      </c>
      <c r="C56" s="2" t="str">
        <f t="shared" si="27"/>
        <v>020504</v>
      </c>
      <c r="D56" s="2">
        <v>2</v>
      </c>
      <c r="E56" s="2">
        <v>5</v>
      </c>
      <c r="F56" s="2">
        <v>4</v>
      </c>
      <c r="G56" s="11" t="s">
        <v>13</v>
      </c>
      <c r="H56" s="4"/>
      <c r="I56" s="42" t="s">
        <v>58</v>
      </c>
      <c r="J56" s="9">
        <v>80</v>
      </c>
      <c r="K56" s="9"/>
      <c r="L56" s="10" t="s">
        <v>8</v>
      </c>
      <c r="M56" s="24" t="s">
        <v>178</v>
      </c>
      <c r="N56" s="7">
        <f t="shared" si="76"/>
        <v>1135000</v>
      </c>
      <c r="O56" s="8">
        <v>94</v>
      </c>
      <c r="P56" s="25">
        <v>41258</v>
      </c>
      <c r="Q56" s="8" t="str">
        <f t="shared" si="28"/>
        <v>2DA-DIC</v>
      </c>
      <c r="R56" s="26">
        <v>0</v>
      </c>
      <c r="S56" s="41" t="s">
        <v>34</v>
      </c>
      <c r="T56" s="8" t="s">
        <v>353</v>
      </c>
      <c r="U56" s="8"/>
      <c r="V56" s="7">
        <v>567500</v>
      </c>
      <c r="W56" s="7">
        <f t="shared" si="145"/>
        <v>28375</v>
      </c>
      <c r="X56" s="7">
        <f t="shared" si="29"/>
        <v>539125</v>
      </c>
      <c r="Y56" s="7">
        <v>0</v>
      </c>
      <c r="Z56" s="7">
        <f t="shared" si="30"/>
        <v>28375</v>
      </c>
      <c r="AA56" s="148" t="str">
        <f t="shared" si="31"/>
        <v>5%</v>
      </c>
      <c r="AB56" s="148">
        <f t="shared" si="32"/>
        <v>0.95</v>
      </c>
      <c r="AC56" s="25">
        <v>41067</v>
      </c>
      <c r="AD56" s="25">
        <v>41067</v>
      </c>
      <c r="AE56" s="25">
        <v>41067</v>
      </c>
      <c r="AF56" s="8"/>
      <c r="AG56" s="59" t="str">
        <f t="shared" ca="1" si="34"/>
        <v>NA</v>
      </c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59" t="str">
        <f t="shared" si="90"/>
        <v>NA</v>
      </c>
      <c r="AS56" s="59" t="str">
        <f t="shared" si="91"/>
        <v/>
      </c>
      <c r="AT56" s="59"/>
      <c r="AU56" s="59" t="str">
        <f t="shared" si="1"/>
        <v>ND</v>
      </c>
      <c r="AV56" s="66"/>
      <c r="AW56" s="66"/>
      <c r="AX56" s="66"/>
      <c r="AY56" s="66"/>
      <c r="AZ56" s="8"/>
      <c r="BA56" s="8" t="s">
        <v>37</v>
      </c>
      <c r="BB56" s="8"/>
      <c r="BC56" s="8"/>
      <c r="BD56" s="8"/>
      <c r="BE56" s="8"/>
      <c r="BF56" s="8"/>
      <c r="BG56" s="8"/>
      <c r="BH56" s="8"/>
      <c r="BI56" s="8"/>
      <c r="BJ56" s="8"/>
      <c r="BK56" s="59"/>
      <c r="BL56" s="59"/>
      <c r="BM56" s="59"/>
      <c r="BN56" s="164">
        <v>0.01</v>
      </c>
      <c r="BO56" s="165">
        <f t="shared" si="37"/>
        <v>3783.3333333333335</v>
      </c>
      <c r="BP56" s="165">
        <f t="shared" ref="BP56:BQ56" si="151">BO56</f>
        <v>3783.3333333333335</v>
      </c>
      <c r="BQ56" s="165">
        <f t="shared" si="151"/>
        <v>3783.3333333333335</v>
      </c>
      <c r="BR56" s="59"/>
      <c r="BS56" s="59"/>
      <c r="BT56" s="59"/>
      <c r="BU56" s="59"/>
      <c r="BV56" s="59" t="str">
        <f t="shared" si="83"/>
        <v>ND</v>
      </c>
      <c r="BW56" s="59" t="str">
        <f t="shared" si="84"/>
        <v>ND</v>
      </c>
      <c r="BX56" s="59" t="str">
        <f t="shared" si="85"/>
        <v>ND</v>
      </c>
      <c r="BY56" s="59" t="str">
        <f t="shared" si="86"/>
        <v>ND</v>
      </c>
      <c r="BZ56" s="59" t="str">
        <f t="shared" si="3"/>
        <v>NA</v>
      </c>
      <c r="CA56" s="59" t="str">
        <f t="shared" si="4"/>
        <v/>
      </c>
      <c r="CB56" s="59" t="str">
        <f t="shared" si="5"/>
        <v>NA</v>
      </c>
      <c r="CC56" s="59" t="str">
        <f t="shared" si="6"/>
        <v/>
      </c>
      <c r="CD56" s="59" t="str">
        <f t="shared" si="7"/>
        <v>NA</v>
      </c>
      <c r="CE56" s="59" t="str">
        <f t="shared" si="8"/>
        <v/>
      </c>
      <c r="CF56" s="59" t="str">
        <f t="shared" si="9"/>
        <v>NA</v>
      </c>
      <c r="CG56" s="59" t="str">
        <f t="shared" ca="1" si="10"/>
        <v>NA</v>
      </c>
      <c r="CH56" s="59" t="str">
        <f t="shared" ca="1" si="11"/>
        <v>NA</v>
      </c>
      <c r="CI56" s="59" t="str">
        <f t="shared" ca="1" si="12"/>
        <v>MAYOR A 45 DIAS</v>
      </c>
      <c r="CJ56" s="59" t="str">
        <f t="shared" ca="1" si="13"/>
        <v>MAYOR A 45 DIAS</v>
      </c>
      <c r="CK56" s="59" t="str">
        <f t="shared" ca="1" si="14"/>
        <v>MAYOR A 45 DIAS</v>
      </c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>
        <f t="shared" si="43"/>
        <v>0</v>
      </c>
      <c r="DH56" s="8">
        <f t="shared" si="79"/>
        <v>0</v>
      </c>
      <c r="DI56" s="8">
        <f t="shared" si="44"/>
        <v>0</v>
      </c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59" t="str">
        <f t="shared" si="45"/>
        <v>NA</v>
      </c>
      <c r="DU56" s="59" t="str">
        <f t="shared" si="46"/>
        <v>NA</v>
      </c>
      <c r="DV56" s="59" t="str">
        <f t="shared" si="47"/>
        <v>NA</v>
      </c>
      <c r="DW56" s="59" t="str">
        <f t="shared" si="48"/>
        <v>NA</v>
      </c>
      <c r="DX56" s="59" t="str">
        <f t="shared" si="49"/>
        <v>NA</v>
      </c>
      <c r="DY56" s="59" t="str">
        <f t="shared" si="50"/>
        <v>NA</v>
      </c>
      <c r="DZ56" s="59" t="str">
        <f t="shared" si="51"/>
        <v>NA</v>
      </c>
      <c r="EA56" s="59" t="str">
        <f t="shared" si="52"/>
        <v>NA</v>
      </c>
      <c r="EB56" s="59" t="str">
        <f t="shared" si="53"/>
        <v>NA</v>
      </c>
      <c r="EC56" s="59" t="str">
        <f t="shared" si="54"/>
        <v>NA</v>
      </c>
      <c r="ED56" s="59" t="str">
        <f t="shared" si="55"/>
        <v/>
      </c>
      <c r="EE56" s="59" t="str">
        <f t="shared" si="56"/>
        <v/>
      </c>
      <c r="EF56" s="59" t="str">
        <f t="shared" si="57"/>
        <v/>
      </c>
      <c r="EG56" s="59" t="str">
        <f t="shared" si="58"/>
        <v/>
      </c>
      <c r="EH56" s="59" t="str">
        <f t="shared" si="59"/>
        <v/>
      </c>
      <c r="EI56" s="59" t="str">
        <f t="shared" si="60"/>
        <v/>
      </c>
      <c r="EJ56" s="59" t="str">
        <f t="shared" si="61"/>
        <v/>
      </c>
      <c r="EK56" s="59" t="str">
        <f t="shared" si="62"/>
        <v/>
      </c>
      <c r="EL56" s="59" t="str">
        <f t="shared" si="63"/>
        <v/>
      </c>
      <c r="EM56" s="59" t="str">
        <f t="shared" si="64"/>
        <v/>
      </c>
      <c r="EN56" s="59" t="str">
        <f t="shared" si="65"/>
        <v/>
      </c>
      <c r="EO56" s="59" t="str">
        <f t="shared" si="66"/>
        <v/>
      </c>
      <c r="EP56" s="59" t="str">
        <f t="shared" si="67"/>
        <v/>
      </c>
      <c r="EQ56" s="59" t="str">
        <f t="shared" si="68"/>
        <v/>
      </c>
      <c r="ER56" s="59" t="str">
        <f t="shared" si="69"/>
        <v/>
      </c>
      <c r="ES56" s="59" t="str">
        <f t="shared" si="70"/>
        <v/>
      </c>
      <c r="ET56" s="59" t="str">
        <f t="shared" si="71"/>
        <v/>
      </c>
      <c r="EU56" s="59" t="str">
        <f t="shared" si="72"/>
        <v/>
      </c>
      <c r="EV56" s="59" t="str">
        <f t="shared" si="73"/>
        <v/>
      </c>
      <c r="EW56" s="59" t="str">
        <f t="shared" si="74"/>
        <v/>
      </c>
      <c r="EX56" s="56">
        <f t="shared" si="26"/>
        <v>1135000</v>
      </c>
    </row>
    <row r="57" spans="1:154" x14ac:dyDescent="0.25">
      <c r="A57" s="2">
        <f t="shared" si="75"/>
        <v>56</v>
      </c>
      <c r="B57" s="2" t="s">
        <v>6</v>
      </c>
      <c r="C57" s="2" t="str">
        <f t="shared" si="27"/>
        <v>020505</v>
      </c>
      <c r="D57" s="2">
        <v>2</v>
      </c>
      <c r="E57" s="2">
        <v>5</v>
      </c>
      <c r="F57" s="2">
        <v>5</v>
      </c>
      <c r="G57" s="11" t="s">
        <v>13</v>
      </c>
      <c r="H57" s="4"/>
      <c r="I57" s="42" t="s">
        <v>58</v>
      </c>
      <c r="J57" s="9">
        <v>80</v>
      </c>
      <c r="K57" s="5"/>
      <c r="L57" s="6" t="s">
        <v>306</v>
      </c>
      <c r="M57" s="24" t="s">
        <v>178</v>
      </c>
      <c r="N57" s="7">
        <f t="shared" si="76"/>
        <v>1126000</v>
      </c>
      <c r="O57" s="8">
        <v>95</v>
      </c>
      <c r="P57" s="25">
        <v>41258</v>
      </c>
      <c r="Q57" s="8" t="str">
        <f t="shared" si="28"/>
        <v>2DA-DIC</v>
      </c>
      <c r="R57" s="26">
        <v>0</v>
      </c>
      <c r="S57" s="41" t="s">
        <v>34</v>
      </c>
      <c r="T57" s="8" t="s">
        <v>353</v>
      </c>
      <c r="U57" s="8"/>
      <c r="V57" s="7">
        <v>563000</v>
      </c>
      <c r="W57" s="7">
        <f t="shared" si="145"/>
        <v>28150</v>
      </c>
      <c r="X57" s="7">
        <f t="shared" si="29"/>
        <v>534850</v>
      </c>
      <c r="Y57" s="7">
        <v>0</v>
      </c>
      <c r="Z57" s="7">
        <f t="shared" si="30"/>
        <v>28150</v>
      </c>
      <c r="AA57" s="148" t="str">
        <f t="shared" si="31"/>
        <v>5%</v>
      </c>
      <c r="AB57" s="148">
        <f t="shared" si="32"/>
        <v>0.95</v>
      </c>
      <c r="AC57" s="25">
        <v>41070</v>
      </c>
      <c r="AD57" s="25">
        <v>41070</v>
      </c>
      <c r="AE57" s="25">
        <v>41070</v>
      </c>
      <c r="AF57" s="8"/>
      <c r="AG57" s="59" t="str">
        <f t="shared" ca="1" si="34"/>
        <v>NA</v>
      </c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59" t="str">
        <f t="shared" si="90"/>
        <v>NA</v>
      </c>
      <c r="AS57" s="59" t="str">
        <f t="shared" si="91"/>
        <v/>
      </c>
      <c r="AT57" s="59"/>
      <c r="AU57" s="59" t="str">
        <f t="shared" si="1"/>
        <v>ND</v>
      </c>
      <c r="AV57" s="66"/>
      <c r="AW57" s="66"/>
      <c r="AX57" s="66"/>
      <c r="AY57" s="66"/>
      <c r="AZ57" s="8"/>
      <c r="BA57" s="8" t="s">
        <v>37</v>
      </c>
      <c r="BB57" s="8"/>
      <c r="BC57" s="8"/>
      <c r="BD57" s="8"/>
      <c r="BE57" s="8"/>
      <c r="BF57" s="8"/>
      <c r="BG57" s="8"/>
      <c r="BH57" s="8"/>
      <c r="BI57" s="8"/>
      <c r="BJ57" s="8"/>
      <c r="BK57" s="59"/>
      <c r="BL57" s="59"/>
      <c r="BM57" s="59"/>
      <c r="BN57" s="164">
        <v>0.01</v>
      </c>
      <c r="BO57" s="165">
        <f t="shared" si="37"/>
        <v>3753.3333333333335</v>
      </c>
      <c r="BP57" s="165">
        <f t="shared" ref="BP57:BQ57" si="152">BO57</f>
        <v>3753.3333333333335</v>
      </c>
      <c r="BQ57" s="165">
        <f t="shared" si="152"/>
        <v>3753.3333333333335</v>
      </c>
      <c r="BR57" s="59"/>
      <c r="BS57" s="59"/>
      <c r="BT57" s="59"/>
      <c r="BU57" s="59"/>
      <c r="BV57" s="59" t="str">
        <f t="shared" si="83"/>
        <v>ND</v>
      </c>
      <c r="BW57" s="59" t="str">
        <f t="shared" si="84"/>
        <v>ND</v>
      </c>
      <c r="BX57" s="59" t="str">
        <f t="shared" si="85"/>
        <v>ND</v>
      </c>
      <c r="BY57" s="59" t="str">
        <f t="shared" si="86"/>
        <v>ND</v>
      </c>
      <c r="BZ57" s="59" t="str">
        <f t="shared" si="3"/>
        <v>NA</v>
      </c>
      <c r="CA57" s="59" t="str">
        <f t="shared" si="4"/>
        <v/>
      </c>
      <c r="CB57" s="59" t="str">
        <f t="shared" si="5"/>
        <v>NA</v>
      </c>
      <c r="CC57" s="59" t="str">
        <f t="shared" si="6"/>
        <v/>
      </c>
      <c r="CD57" s="59" t="str">
        <f t="shared" si="7"/>
        <v>NA</v>
      </c>
      <c r="CE57" s="59" t="str">
        <f t="shared" si="8"/>
        <v/>
      </c>
      <c r="CF57" s="59" t="str">
        <f t="shared" si="9"/>
        <v>NA</v>
      </c>
      <c r="CG57" s="59" t="str">
        <f t="shared" ca="1" si="10"/>
        <v>NA</v>
      </c>
      <c r="CH57" s="59" t="str">
        <f t="shared" ca="1" si="11"/>
        <v>NA</v>
      </c>
      <c r="CI57" s="59" t="str">
        <f t="shared" ca="1" si="12"/>
        <v>MAYOR A 45 DIAS</v>
      </c>
      <c r="CJ57" s="59" t="str">
        <f t="shared" ca="1" si="13"/>
        <v>MAYOR A 45 DIAS</v>
      </c>
      <c r="CK57" s="59" t="str">
        <f t="shared" ca="1" si="14"/>
        <v>MAYOR A 45 DIAS</v>
      </c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>
        <f t="shared" si="43"/>
        <v>0</v>
      </c>
      <c r="DH57" s="8">
        <f t="shared" si="79"/>
        <v>0</v>
      </c>
      <c r="DI57" s="8">
        <f t="shared" si="44"/>
        <v>0</v>
      </c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59" t="str">
        <f t="shared" si="45"/>
        <v>NA</v>
      </c>
      <c r="DU57" s="59" t="str">
        <f t="shared" si="46"/>
        <v>NA</v>
      </c>
      <c r="DV57" s="59" t="str">
        <f t="shared" si="47"/>
        <v>NA</v>
      </c>
      <c r="DW57" s="59" t="str">
        <f t="shared" si="48"/>
        <v>NA</v>
      </c>
      <c r="DX57" s="59" t="str">
        <f t="shared" si="49"/>
        <v>NA</v>
      </c>
      <c r="DY57" s="59" t="str">
        <f t="shared" si="50"/>
        <v>NA</v>
      </c>
      <c r="DZ57" s="59" t="str">
        <f t="shared" si="51"/>
        <v>NA</v>
      </c>
      <c r="EA57" s="59" t="str">
        <f t="shared" si="52"/>
        <v>NA</v>
      </c>
      <c r="EB57" s="59" t="str">
        <f t="shared" si="53"/>
        <v>NA</v>
      </c>
      <c r="EC57" s="59" t="str">
        <f t="shared" si="54"/>
        <v>NA</v>
      </c>
      <c r="ED57" s="59" t="str">
        <f t="shared" si="55"/>
        <v/>
      </c>
      <c r="EE57" s="59" t="str">
        <f t="shared" si="56"/>
        <v/>
      </c>
      <c r="EF57" s="59" t="str">
        <f t="shared" si="57"/>
        <v/>
      </c>
      <c r="EG57" s="59" t="str">
        <f t="shared" si="58"/>
        <v/>
      </c>
      <c r="EH57" s="59" t="str">
        <f t="shared" si="59"/>
        <v/>
      </c>
      <c r="EI57" s="59" t="str">
        <f t="shared" si="60"/>
        <v/>
      </c>
      <c r="EJ57" s="59" t="str">
        <f t="shared" si="61"/>
        <v/>
      </c>
      <c r="EK57" s="59" t="str">
        <f t="shared" si="62"/>
        <v/>
      </c>
      <c r="EL57" s="59" t="str">
        <f t="shared" si="63"/>
        <v/>
      </c>
      <c r="EM57" s="59" t="str">
        <f t="shared" si="64"/>
        <v/>
      </c>
      <c r="EN57" s="59" t="str">
        <f t="shared" si="65"/>
        <v/>
      </c>
      <c r="EO57" s="59" t="str">
        <f t="shared" si="66"/>
        <v/>
      </c>
      <c r="EP57" s="59" t="str">
        <f t="shared" si="67"/>
        <v/>
      </c>
      <c r="EQ57" s="59" t="str">
        <f t="shared" si="68"/>
        <v/>
      </c>
      <c r="ER57" s="59" t="str">
        <f t="shared" si="69"/>
        <v/>
      </c>
      <c r="ES57" s="59" t="str">
        <f t="shared" si="70"/>
        <v/>
      </c>
      <c r="ET57" s="59" t="str">
        <f t="shared" si="71"/>
        <v/>
      </c>
      <c r="EU57" s="59" t="str">
        <f t="shared" si="72"/>
        <v/>
      </c>
      <c r="EV57" s="59" t="str">
        <f t="shared" si="73"/>
        <v/>
      </c>
      <c r="EW57" s="59" t="str">
        <f t="shared" si="74"/>
        <v/>
      </c>
      <c r="EX57" s="56">
        <f t="shared" si="26"/>
        <v>1126000</v>
      </c>
    </row>
    <row r="58" spans="1:154" x14ac:dyDescent="0.25">
      <c r="A58" s="2">
        <f t="shared" si="75"/>
        <v>57</v>
      </c>
      <c r="B58" s="2" t="s">
        <v>6</v>
      </c>
      <c r="C58" s="2" t="str">
        <f t="shared" si="27"/>
        <v>020506</v>
      </c>
      <c r="D58" s="2">
        <v>2</v>
      </c>
      <c r="E58" s="2">
        <v>5</v>
      </c>
      <c r="F58" s="2">
        <v>6</v>
      </c>
      <c r="G58" s="11" t="s">
        <v>13</v>
      </c>
      <c r="H58" s="4"/>
      <c r="I58" s="42" t="s">
        <v>58</v>
      </c>
      <c r="J58" s="9">
        <v>80</v>
      </c>
      <c r="K58" s="5"/>
      <c r="L58" s="6" t="s">
        <v>306</v>
      </c>
      <c r="M58" s="24" t="s">
        <v>178</v>
      </c>
      <c r="N58" s="7">
        <f t="shared" si="76"/>
        <v>1126000</v>
      </c>
      <c r="O58" s="8">
        <v>96</v>
      </c>
      <c r="P58" s="25">
        <v>41258</v>
      </c>
      <c r="Q58" s="8" t="str">
        <f t="shared" si="28"/>
        <v>2DA-DIC</v>
      </c>
      <c r="R58" s="26">
        <v>0</v>
      </c>
      <c r="S58" s="41" t="s">
        <v>34</v>
      </c>
      <c r="T58" s="8" t="s">
        <v>353</v>
      </c>
      <c r="U58" s="8"/>
      <c r="V58" s="7">
        <v>563000</v>
      </c>
      <c r="W58" s="7">
        <f t="shared" si="145"/>
        <v>28150</v>
      </c>
      <c r="X58" s="7">
        <f t="shared" si="29"/>
        <v>534850</v>
      </c>
      <c r="Y58" s="7">
        <v>0</v>
      </c>
      <c r="Z58" s="7">
        <f t="shared" si="30"/>
        <v>28150</v>
      </c>
      <c r="AA58" s="148" t="str">
        <f t="shared" si="31"/>
        <v>5%</v>
      </c>
      <c r="AB58" s="148">
        <f t="shared" si="32"/>
        <v>0.95</v>
      </c>
      <c r="AC58" s="25">
        <v>41069</v>
      </c>
      <c r="AD58" s="25">
        <v>41069</v>
      </c>
      <c r="AE58" s="25">
        <v>41069</v>
      </c>
      <c r="AF58" s="8"/>
      <c r="AG58" s="59" t="str">
        <f t="shared" ca="1" si="34"/>
        <v>NA</v>
      </c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59" t="str">
        <f t="shared" si="90"/>
        <v>NA</v>
      </c>
      <c r="AS58" s="59" t="str">
        <f t="shared" si="91"/>
        <v/>
      </c>
      <c r="AT58" s="59"/>
      <c r="AU58" s="59" t="str">
        <f t="shared" si="1"/>
        <v>ND</v>
      </c>
      <c r="AV58" s="66"/>
      <c r="AW58" s="66"/>
      <c r="AX58" s="66"/>
      <c r="AY58" s="66"/>
      <c r="AZ58" s="8"/>
      <c r="BA58" s="8" t="s">
        <v>37</v>
      </c>
      <c r="BB58" s="8"/>
      <c r="BC58" s="8"/>
      <c r="BD58" s="8"/>
      <c r="BE58" s="8"/>
      <c r="BF58" s="8"/>
      <c r="BG58" s="8"/>
      <c r="BH58" s="8"/>
      <c r="BI58" s="8"/>
      <c r="BJ58" s="8"/>
      <c r="BK58" s="59"/>
      <c r="BL58" s="59"/>
      <c r="BM58" s="59"/>
      <c r="BN58" s="164">
        <v>0.01</v>
      </c>
      <c r="BO58" s="165">
        <f t="shared" si="37"/>
        <v>3753.3333333333335</v>
      </c>
      <c r="BP58" s="165">
        <f t="shared" ref="BP58:BQ58" si="153">BO58</f>
        <v>3753.3333333333335</v>
      </c>
      <c r="BQ58" s="165">
        <f t="shared" si="153"/>
        <v>3753.3333333333335</v>
      </c>
      <c r="BR58" s="59"/>
      <c r="BS58" s="59"/>
      <c r="BT58" s="59"/>
      <c r="BU58" s="59"/>
      <c r="BV58" s="59" t="str">
        <f t="shared" si="83"/>
        <v>ND</v>
      </c>
      <c r="BW58" s="59" t="str">
        <f t="shared" si="84"/>
        <v>ND</v>
      </c>
      <c r="BX58" s="59" t="str">
        <f t="shared" si="85"/>
        <v>ND</v>
      </c>
      <c r="BY58" s="59" t="str">
        <f t="shared" si="86"/>
        <v>ND</v>
      </c>
      <c r="BZ58" s="59" t="str">
        <f t="shared" si="3"/>
        <v>NA</v>
      </c>
      <c r="CA58" s="59" t="str">
        <f t="shared" si="4"/>
        <v/>
      </c>
      <c r="CB58" s="59" t="str">
        <f t="shared" si="5"/>
        <v>NA</v>
      </c>
      <c r="CC58" s="59" t="str">
        <f t="shared" si="6"/>
        <v/>
      </c>
      <c r="CD58" s="59" t="str">
        <f t="shared" si="7"/>
        <v>NA</v>
      </c>
      <c r="CE58" s="59" t="str">
        <f t="shared" si="8"/>
        <v/>
      </c>
      <c r="CF58" s="59" t="str">
        <f t="shared" si="9"/>
        <v>NA</v>
      </c>
      <c r="CG58" s="59" t="str">
        <f t="shared" ca="1" si="10"/>
        <v>NA</v>
      </c>
      <c r="CH58" s="59" t="str">
        <f t="shared" ca="1" si="11"/>
        <v>NA</v>
      </c>
      <c r="CI58" s="59" t="str">
        <f t="shared" ca="1" si="12"/>
        <v>MAYOR A 45 DIAS</v>
      </c>
      <c r="CJ58" s="59" t="str">
        <f t="shared" ca="1" si="13"/>
        <v>MAYOR A 45 DIAS</v>
      </c>
      <c r="CK58" s="59" t="str">
        <f t="shared" ca="1" si="14"/>
        <v>MAYOR A 45 DIAS</v>
      </c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>
        <f t="shared" si="43"/>
        <v>0</v>
      </c>
      <c r="DH58" s="8">
        <f t="shared" si="79"/>
        <v>0</v>
      </c>
      <c r="DI58" s="8">
        <f t="shared" si="44"/>
        <v>0</v>
      </c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59" t="str">
        <f t="shared" si="45"/>
        <v>NA</v>
      </c>
      <c r="DU58" s="59" t="str">
        <f t="shared" si="46"/>
        <v>NA</v>
      </c>
      <c r="DV58" s="59" t="str">
        <f t="shared" si="47"/>
        <v>NA</v>
      </c>
      <c r="DW58" s="59" t="str">
        <f t="shared" si="48"/>
        <v>NA</v>
      </c>
      <c r="DX58" s="59" t="str">
        <f t="shared" si="49"/>
        <v>NA</v>
      </c>
      <c r="DY58" s="59" t="str">
        <f t="shared" si="50"/>
        <v>NA</v>
      </c>
      <c r="DZ58" s="59" t="str">
        <f t="shared" si="51"/>
        <v>NA</v>
      </c>
      <c r="EA58" s="59" t="str">
        <f t="shared" si="52"/>
        <v>NA</v>
      </c>
      <c r="EB58" s="59" t="str">
        <f t="shared" si="53"/>
        <v>NA</v>
      </c>
      <c r="EC58" s="59" t="str">
        <f t="shared" si="54"/>
        <v>NA</v>
      </c>
      <c r="ED58" s="59" t="str">
        <f t="shared" si="55"/>
        <v/>
      </c>
      <c r="EE58" s="59" t="str">
        <f t="shared" si="56"/>
        <v/>
      </c>
      <c r="EF58" s="59" t="str">
        <f t="shared" si="57"/>
        <v/>
      </c>
      <c r="EG58" s="59" t="str">
        <f t="shared" si="58"/>
        <v/>
      </c>
      <c r="EH58" s="59" t="str">
        <f t="shared" si="59"/>
        <v/>
      </c>
      <c r="EI58" s="59" t="str">
        <f t="shared" si="60"/>
        <v/>
      </c>
      <c r="EJ58" s="59" t="str">
        <f t="shared" si="61"/>
        <v/>
      </c>
      <c r="EK58" s="59" t="str">
        <f t="shared" si="62"/>
        <v/>
      </c>
      <c r="EL58" s="59" t="str">
        <f t="shared" si="63"/>
        <v/>
      </c>
      <c r="EM58" s="59" t="str">
        <f t="shared" si="64"/>
        <v/>
      </c>
      <c r="EN58" s="59" t="str">
        <f t="shared" si="65"/>
        <v/>
      </c>
      <c r="EO58" s="59" t="str">
        <f t="shared" si="66"/>
        <v/>
      </c>
      <c r="EP58" s="59" t="str">
        <f t="shared" si="67"/>
        <v/>
      </c>
      <c r="EQ58" s="59" t="str">
        <f t="shared" si="68"/>
        <v/>
      </c>
      <c r="ER58" s="59" t="str">
        <f t="shared" si="69"/>
        <v/>
      </c>
      <c r="ES58" s="59" t="str">
        <f t="shared" si="70"/>
        <v/>
      </c>
      <c r="ET58" s="59" t="str">
        <f t="shared" si="71"/>
        <v/>
      </c>
      <c r="EU58" s="59" t="str">
        <f t="shared" si="72"/>
        <v/>
      </c>
      <c r="EV58" s="59" t="str">
        <f t="shared" si="73"/>
        <v/>
      </c>
      <c r="EW58" s="59" t="str">
        <f t="shared" si="74"/>
        <v/>
      </c>
      <c r="EX58" s="56">
        <f t="shared" si="26"/>
        <v>1126000</v>
      </c>
    </row>
    <row r="59" spans="1:154" x14ac:dyDescent="0.25">
      <c r="A59" s="2">
        <f t="shared" si="75"/>
        <v>58</v>
      </c>
      <c r="B59" s="2" t="s">
        <v>6</v>
      </c>
      <c r="C59" s="2" t="str">
        <f t="shared" si="27"/>
        <v>020507</v>
      </c>
      <c r="D59" s="2">
        <v>2</v>
      </c>
      <c r="E59" s="2">
        <v>5</v>
      </c>
      <c r="F59" s="2">
        <v>7</v>
      </c>
      <c r="G59" s="11" t="s">
        <v>13</v>
      </c>
      <c r="H59" s="4"/>
      <c r="I59" s="42" t="s">
        <v>58</v>
      </c>
      <c r="J59" s="9">
        <v>80</v>
      </c>
      <c r="K59" s="9"/>
      <c r="L59" s="10" t="s">
        <v>8</v>
      </c>
      <c r="M59" s="24" t="s">
        <v>178</v>
      </c>
      <c r="N59" s="7">
        <f t="shared" si="76"/>
        <v>1135000</v>
      </c>
      <c r="O59" s="8">
        <v>97</v>
      </c>
      <c r="P59" s="25">
        <v>41258</v>
      </c>
      <c r="Q59" s="8" t="str">
        <f t="shared" si="28"/>
        <v>2DA-DIC</v>
      </c>
      <c r="R59" s="26">
        <v>0</v>
      </c>
      <c r="S59" s="41" t="s">
        <v>34</v>
      </c>
      <c r="T59" s="8" t="s">
        <v>353</v>
      </c>
      <c r="U59" s="8"/>
      <c r="V59" s="7">
        <v>567500</v>
      </c>
      <c r="W59" s="7">
        <f t="shared" si="145"/>
        <v>28375</v>
      </c>
      <c r="X59" s="7">
        <f t="shared" si="29"/>
        <v>539125</v>
      </c>
      <c r="Y59" s="7">
        <v>0</v>
      </c>
      <c r="Z59" s="7">
        <f t="shared" si="30"/>
        <v>28375</v>
      </c>
      <c r="AA59" s="148" t="str">
        <f t="shared" si="31"/>
        <v>5%</v>
      </c>
      <c r="AB59" s="148">
        <f t="shared" si="32"/>
        <v>0.95</v>
      </c>
      <c r="AC59" s="25">
        <v>41049</v>
      </c>
      <c r="AD59" s="25">
        <v>41049</v>
      </c>
      <c r="AE59" s="25">
        <v>41049</v>
      </c>
      <c r="AF59" s="8"/>
      <c r="AG59" s="59" t="str">
        <f t="shared" ca="1" si="34"/>
        <v>NA</v>
      </c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59" t="str">
        <f t="shared" si="90"/>
        <v>NA</v>
      </c>
      <c r="AS59" s="59" t="str">
        <f t="shared" si="91"/>
        <v/>
      </c>
      <c r="AT59" s="59"/>
      <c r="AU59" s="59" t="str">
        <f t="shared" si="1"/>
        <v>ND</v>
      </c>
      <c r="AV59" s="66"/>
      <c r="AW59" s="66"/>
      <c r="AX59" s="66"/>
      <c r="AY59" s="66"/>
      <c r="AZ59" s="8"/>
      <c r="BA59" s="8" t="s">
        <v>37</v>
      </c>
      <c r="BB59" s="8"/>
      <c r="BC59" s="8"/>
      <c r="BD59" s="8"/>
      <c r="BE59" s="8"/>
      <c r="BF59" s="8"/>
      <c r="BG59" s="8"/>
      <c r="BH59" s="8"/>
      <c r="BI59" s="8"/>
      <c r="BJ59" s="8"/>
      <c r="BK59" s="59"/>
      <c r="BL59" s="59"/>
      <c r="BM59" s="59"/>
      <c r="BN59" s="164">
        <v>0.01</v>
      </c>
      <c r="BO59" s="165">
        <f t="shared" si="37"/>
        <v>3783.3333333333335</v>
      </c>
      <c r="BP59" s="165">
        <f t="shared" ref="BP59:BQ59" si="154">BO59</f>
        <v>3783.3333333333335</v>
      </c>
      <c r="BQ59" s="165">
        <f t="shared" si="154"/>
        <v>3783.3333333333335</v>
      </c>
      <c r="BR59" s="59"/>
      <c r="BS59" s="59"/>
      <c r="BT59" s="59"/>
      <c r="BU59" s="59"/>
      <c r="BV59" s="59" t="str">
        <f t="shared" si="83"/>
        <v>ND</v>
      </c>
      <c r="BW59" s="59" t="str">
        <f t="shared" si="84"/>
        <v>ND</v>
      </c>
      <c r="BX59" s="59" t="str">
        <f t="shared" si="85"/>
        <v>ND</v>
      </c>
      <c r="BY59" s="59" t="str">
        <f t="shared" si="86"/>
        <v>ND</v>
      </c>
      <c r="BZ59" s="59" t="str">
        <f t="shared" si="3"/>
        <v>NA</v>
      </c>
      <c r="CA59" s="59" t="str">
        <f t="shared" si="4"/>
        <v/>
      </c>
      <c r="CB59" s="59" t="str">
        <f t="shared" si="5"/>
        <v>NA</v>
      </c>
      <c r="CC59" s="59" t="str">
        <f t="shared" si="6"/>
        <v/>
      </c>
      <c r="CD59" s="59" t="str">
        <f t="shared" si="7"/>
        <v>NA</v>
      </c>
      <c r="CE59" s="59" t="str">
        <f t="shared" si="8"/>
        <v/>
      </c>
      <c r="CF59" s="59" t="str">
        <f t="shared" si="9"/>
        <v>NA</v>
      </c>
      <c r="CG59" s="59" t="str">
        <f t="shared" ca="1" si="10"/>
        <v>NA</v>
      </c>
      <c r="CH59" s="59" t="str">
        <f t="shared" ca="1" si="11"/>
        <v>NA</v>
      </c>
      <c r="CI59" s="59" t="str">
        <f t="shared" ca="1" si="12"/>
        <v>MAYOR A 45 DIAS</v>
      </c>
      <c r="CJ59" s="59" t="str">
        <f t="shared" ca="1" si="13"/>
        <v>MAYOR A 45 DIAS</v>
      </c>
      <c r="CK59" s="59" t="str">
        <f t="shared" ca="1" si="14"/>
        <v>MAYOR A 45 DIAS</v>
      </c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>
        <f t="shared" si="43"/>
        <v>0</v>
      </c>
      <c r="DH59" s="8">
        <f t="shared" si="79"/>
        <v>0</v>
      </c>
      <c r="DI59" s="8">
        <f t="shared" si="44"/>
        <v>0</v>
      </c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59" t="str">
        <f t="shared" si="45"/>
        <v>NA</v>
      </c>
      <c r="DU59" s="59" t="str">
        <f t="shared" si="46"/>
        <v>NA</v>
      </c>
      <c r="DV59" s="59" t="str">
        <f t="shared" si="47"/>
        <v>NA</v>
      </c>
      <c r="DW59" s="59" t="str">
        <f t="shared" si="48"/>
        <v>NA</v>
      </c>
      <c r="DX59" s="59" t="str">
        <f t="shared" si="49"/>
        <v>NA</v>
      </c>
      <c r="DY59" s="59" t="str">
        <f t="shared" si="50"/>
        <v>NA</v>
      </c>
      <c r="DZ59" s="59" t="str">
        <f t="shared" si="51"/>
        <v>NA</v>
      </c>
      <c r="EA59" s="59" t="str">
        <f t="shared" si="52"/>
        <v>NA</v>
      </c>
      <c r="EB59" s="59" t="str">
        <f t="shared" si="53"/>
        <v>NA</v>
      </c>
      <c r="EC59" s="59" t="str">
        <f t="shared" si="54"/>
        <v>NA</v>
      </c>
      <c r="ED59" s="59" t="str">
        <f t="shared" si="55"/>
        <v/>
      </c>
      <c r="EE59" s="59" t="str">
        <f t="shared" si="56"/>
        <v/>
      </c>
      <c r="EF59" s="59" t="str">
        <f t="shared" si="57"/>
        <v/>
      </c>
      <c r="EG59" s="59" t="str">
        <f t="shared" si="58"/>
        <v/>
      </c>
      <c r="EH59" s="59" t="str">
        <f t="shared" si="59"/>
        <v/>
      </c>
      <c r="EI59" s="59" t="str">
        <f t="shared" si="60"/>
        <v/>
      </c>
      <c r="EJ59" s="59" t="str">
        <f t="shared" si="61"/>
        <v/>
      </c>
      <c r="EK59" s="59" t="str">
        <f t="shared" si="62"/>
        <v/>
      </c>
      <c r="EL59" s="59" t="str">
        <f t="shared" si="63"/>
        <v/>
      </c>
      <c r="EM59" s="59" t="str">
        <f t="shared" si="64"/>
        <v/>
      </c>
      <c r="EN59" s="59" t="str">
        <f t="shared" si="65"/>
        <v/>
      </c>
      <c r="EO59" s="59" t="str">
        <f t="shared" si="66"/>
        <v/>
      </c>
      <c r="EP59" s="59" t="str">
        <f t="shared" si="67"/>
        <v/>
      </c>
      <c r="EQ59" s="59" t="str">
        <f t="shared" si="68"/>
        <v/>
      </c>
      <c r="ER59" s="59" t="str">
        <f t="shared" si="69"/>
        <v/>
      </c>
      <c r="ES59" s="59" t="str">
        <f t="shared" si="70"/>
        <v/>
      </c>
      <c r="ET59" s="59" t="str">
        <f t="shared" si="71"/>
        <v/>
      </c>
      <c r="EU59" s="59" t="str">
        <f t="shared" si="72"/>
        <v/>
      </c>
      <c r="EV59" s="59" t="str">
        <f t="shared" si="73"/>
        <v/>
      </c>
      <c r="EW59" s="59" t="str">
        <f t="shared" si="74"/>
        <v/>
      </c>
      <c r="EX59" s="56">
        <f t="shared" si="26"/>
        <v>1135000</v>
      </c>
    </row>
    <row r="60" spans="1:154" x14ac:dyDescent="0.25">
      <c r="A60" s="2">
        <f t="shared" si="75"/>
        <v>59</v>
      </c>
      <c r="B60" s="2" t="s">
        <v>6</v>
      </c>
      <c r="C60" s="2" t="str">
        <f t="shared" si="27"/>
        <v>020508</v>
      </c>
      <c r="D60" s="2">
        <v>2</v>
      </c>
      <c r="E60" s="2">
        <v>5</v>
      </c>
      <c r="F60" s="2">
        <v>8</v>
      </c>
      <c r="G60" s="11" t="s">
        <v>13</v>
      </c>
      <c r="H60" s="4"/>
      <c r="I60" s="42" t="s">
        <v>58</v>
      </c>
      <c r="J60" s="9">
        <v>80</v>
      </c>
      <c r="K60" s="5"/>
      <c r="L60" s="6" t="s">
        <v>306</v>
      </c>
      <c r="M60" s="24" t="s">
        <v>178</v>
      </c>
      <c r="N60" s="7">
        <f t="shared" si="76"/>
        <v>1126000</v>
      </c>
      <c r="O60" s="8">
        <v>98</v>
      </c>
      <c r="P60" s="25">
        <v>41258</v>
      </c>
      <c r="Q60" s="8" t="str">
        <f t="shared" si="28"/>
        <v>2DA-DIC</v>
      </c>
      <c r="R60" s="26">
        <v>0</v>
      </c>
      <c r="S60" s="41" t="s">
        <v>34</v>
      </c>
      <c r="T60" s="8" t="s">
        <v>353</v>
      </c>
      <c r="U60" s="8"/>
      <c r="V60" s="7">
        <v>563000</v>
      </c>
      <c r="W60" s="7">
        <f t="shared" si="145"/>
        <v>28150</v>
      </c>
      <c r="X60" s="7">
        <f t="shared" si="29"/>
        <v>534850</v>
      </c>
      <c r="Y60" s="7">
        <v>0</v>
      </c>
      <c r="Z60" s="7">
        <f t="shared" si="30"/>
        <v>28150</v>
      </c>
      <c r="AA60" s="148" t="str">
        <f t="shared" si="31"/>
        <v>5%</v>
      </c>
      <c r="AB60" s="148">
        <f t="shared" si="32"/>
        <v>0.95</v>
      </c>
      <c r="AC60" s="25">
        <v>41096</v>
      </c>
      <c r="AD60" s="25">
        <v>41096</v>
      </c>
      <c r="AE60" s="25">
        <v>41096</v>
      </c>
      <c r="AF60" s="8"/>
      <c r="AG60" s="59" t="str">
        <f t="shared" ca="1" si="34"/>
        <v>NA</v>
      </c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59" t="str">
        <f t="shared" si="90"/>
        <v>NA</v>
      </c>
      <c r="AS60" s="59" t="str">
        <f t="shared" si="91"/>
        <v/>
      </c>
      <c r="AT60" s="59"/>
      <c r="AU60" s="59" t="str">
        <f t="shared" si="1"/>
        <v>ND</v>
      </c>
      <c r="AV60" s="66"/>
      <c r="AW60" s="66"/>
      <c r="AX60" s="66"/>
      <c r="AY60" s="66"/>
      <c r="AZ60" s="8"/>
      <c r="BA60" s="8" t="s">
        <v>37</v>
      </c>
      <c r="BB60" s="8"/>
      <c r="BC60" s="8"/>
      <c r="BD60" s="8"/>
      <c r="BE60" s="8"/>
      <c r="BF60" s="8"/>
      <c r="BG60" s="8"/>
      <c r="BH60" s="8"/>
      <c r="BI60" s="8"/>
      <c r="BJ60" s="8"/>
      <c r="BK60" s="59"/>
      <c r="BL60" s="59"/>
      <c r="BM60" s="59"/>
      <c r="BN60" s="164">
        <v>0.01</v>
      </c>
      <c r="BO60" s="165">
        <f t="shared" si="37"/>
        <v>3753.3333333333335</v>
      </c>
      <c r="BP60" s="165">
        <f t="shared" ref="BP60:BQ60" si="155">BO60</f>
        <v>3753.3333333333335</v>
      </c>
      <c r="BQ60" s="165">
        <f t="shared" si="155"/>
        <v>3753.3333333333335</v>
      </c>
      <c r="BR60" s="59"/>
      <c r="BS60" s="59"/>
      <c r="BT60" s="59"/>
      <c r="BU60" s="59"/>
      <c r="BV60" s="59" t="str">
        <f t="shared" si="83"/>
        <v>ND</v>
      </c>
      <c r="BW60" s="59" t="str">
        <f t="shared" si="84"/>
        <v>ND</v>
      </c>
      <c r="BX60" s="59" t="str">
        <f t="shared" si="85"/>
        <v>ND</v>
      </c>
      <c r="BY60" s="59" t="str">
        <f t="shared" si="86"/>
        <v>ND</v>
      </c>
      <c r="BZ60" s="59" t="str">
        <f t="shared" si="3"/>
        <v>NA</v>
      </c>
      <c r="CA60" s="59" t="str">
        <f t="shared" si="4"/>
        <v/>
      </c>
      <c r="CB60" s="59" t="str">
        <f t="shared" si="5"/>
        <v>NA</v>
      </c>
      <c r="CC60" s="59" t="str">
        <f t="shared" si="6"/>
        <v/>
      </c>
      <c r="CD60" s="59" t="str">
        <f t="shared" si="7"/>
        <v>NA</v>
      </c>
      <c r="CE60" s="59" t="str">
        <f t="shared" si="8"/>
        <v/>
      </c>
      <c r="CF60" s="59" t="str">
        <f t="shared" si="9"/>
        <v>NA</v>
      </c>
      <c r="CG60" s="59" t="str">
        <f t="shared" ca="1" si="10"/>
        <v>NA</v>
      </c>
      <c r="CH60" s="59" t="str">
        <f t="shared" ca="1" si="11"/>
        <v>NA</v>
      </c>
      <c r="CI60" s="59" t="str">
        <f t="shared" ca="1" si="12"/>
        <v>DE 26 A 29 DIAS</v>
      </c>
      <c r="CJ60" s="59" t="str">
        <f t="shared" ca="1" si="13"/>
        <v>DE 26 A 29 DIAS</v>
      </c>
      <c r="CK60" s="59" t="str">
        <f t="shared" ca="1" si="14"/>
        <v>DE 26 A 29 DIAS</v>
      </c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>
        <f t="shared" si="43"/>
        <v>0</v>
      </c>
      <c r="DH60" s="8">
        <f t="shared" si="79"/>
        <v>0</v>
      </c>
      <c r="DI60" s="8">
        <f t="shared" si="44"/>
        <v>0</v>
      </c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59" t="str">
        <f t="shared" si="45"/>
        <v>NA</v>
      </c>
      <c r="DU60" s="59" t="str">
        <f t="shared" si="46"/>
        <v>NA</v>
      </c>
      <c r="DV60" s="59" t="str">
        <f t="shared" si="47"/>
        <v>NA</v>
      </c>
      <c r="DW60" s="59" t="str">
        <f t="shared" si="48"/>
        <v>NA</v>
      </c>
      <c r="DX60" s="59" t="str">
        <f t="shared" si="49"/>
        <v>NA</v>
      </c>
      <c r="DY60" s="59" t="str">
        <f t="shared" si="50"/>
        <v>NA</v>
      </c>
      <c r="DZ60" s="59" t="str">
        <f t="shared" si="51"/>
        <v>NA</v>
      </c>
      <c r="EA60" s="59" t="str">
        <f t="shared" si="52"/>
        <v>NA</v>
      </c>
      <c r="EB60" s="59" t="str">
        <f t="shared" si="53"/>
        <v>NA</v>
      </c>
      <c r="EC60" s="59" t="str">
        <f t="shared" si="54"/>
        <v>NA</v>
      </c>
      <c r="ED60" s="59" t="str">
        <f t="shared" si="55"/>
        <v/>
      </c>
      <c r="EE60" s="59" t="str">
        <f t="shared" si="56"/>
        <v/>
      </c>
      <c r="EF60" s="59" t="str">
        <f t="shared" si="57"/>
        <v/>
      </c>
      <c r="EG60" s="59" t="str">
        <f t="shared" si="58"/>
        <v/>
      </c>
      <c r="EH60" s="59" t="str">
        <f t="shared" si="59"/>
        <v/>
      </c>
      <c r="EI60" s="59" t="str">
        <f t="shared" si="60"/>
        <v/>
      </c>
      <c r="EJ60" s="59" t="str">
        <f t="shared" si="61"/>
        <v/>
      </c>
      <c r="EK60" s="59" t="str">
        <f t="shared" si="62"/>
        <v/>
      </c>
      <c r="EL60" s="59" t="str">
        <f t="shared" si="63"/>
        <v/>
      </c>
      <c r="EM60" s="59" t="str">
        <f t="shared" si="64"/>
        <v/>
      </c>
      <c r="EN60" s="59" t="str">
        <f t="shared" si="65"/>
        <v/>
      </c>
      <c r="EO60" s="59" t="str">
        <f t="shared" si="66"/>
        <v/>
      </c>
      <c r="EP60" s="59" t="str">
        <f t="shared" si="67"/>
        <v/>
      </c>
      <c r="EQ60" s="59" t="str">
        <f t="shared" si="68"/>
        <v/>
      </c>
      <c r="ER60" s="59" t="str">
        <f t="shared" si="69"/>
        <v/>
      </c>
      <c r="ES60" s="59" t="str">
        <f t="shared" si="70"/>
        <v/>
      </c>
      <c r="ET60" s="59" t="str">
        <f t="shared" si="71"/>
        <v/>
      </c>
      <c r="EU60" s="59" t="str">
        <f t="shared" si="72"/>
        <v/>
      </c>
      <c r="EV60" s="59" t="str">
        <f t="shared" si="73"/>
        <v/>
      </c>
      <c r="EW60" s="59" t="str">
        <f t="shared" si="74"/>
        <v/>
      </c>
      <c r="EX60" s="56">
        <f t="shared" si="26"/>
        <v>1126000</v>
      </c>
    </row>
    <row r="61" spans="1:154" x14ac:dyDescent="0.25">
      <c r="A61" s="2">
        <f t="shared" si="75"/>
        <v>60</v>
      </c>
      <c r="B61" s="2" t="s">
        <v>6</v>
      </c>
      <c r="C61" s="2" t="str">
        <f t="shared" si="27"/>
        <v>020509</v>
      </c>
      <c r="D61" s="2">
        <v>2</v>
      </c>
      <c r="E61" s="2">
        <v>5</v>
      </c>
      <c r="F61" s="2">
        <v>9</v>
      </c>
      <c r="G61" s="11" t="s">
        <v>13</v>
      </c>
      <c r="H61" s="4"/>
      <c r="I61" s="42" t="s">
        <v>58</v>
      </c>
      <c r="J61" s="9">
        <v>80</v>
      </c>
      <c r="K61" s="5"/>
      <c r="L61" s="6" t="s">
        <v>306</v>
      </c>
      <c r="M61" s="24" t="s">
        <v>178</v>
      </c>
      <c r="N61" s="7">
        <f t="shared" si="76"/>
        <v>1126000</v>
      </c>
      <c r="O61" s="8">
        <v>99</v>
      </c>
      <c r="P61" s="25">
        <v>41258</v>
      </c>
      <c r="Q61" s="8" t="str">
        <f t="shared" si="28"/>
        <v>2DA-DIC</v>
      </c>
      <c r="R61" s="26">
        <v>0</v>
      </c>
      <c r="S61" s="41" t="s">
        <v>34</v>
      </c>
      <c r="T61" s="8" t="s">
        <v>353</v>
      </c>
      <c r="U61" s="8"/>
      <c r="V61" s="7">
        <v>563000</v>
      </c>
      <c r="W61" s="7">
        <f t="shared" si="145"/>
        <v>28150</v>
      </c>
      <c r="X61" s="7">
        <f t="shared" si="29"/>
        <v>534850</v>
      </c>
      <c r="Y61" s="7">
        <v>0</v>
      </c>
      <c r="Z61" s="7">
        <f t="shared" si="30"/>
        <v>28150</v>
      </c>
      <c r="AA61" s="148" t="str">
        <f t="shared" si="31"/>
        <v>5%</v>
      </c>
      <c r="AB61" s="148">
        <f t="shared" si="32"/>
        <v>0.95</v>
      </c>
      <c r="AC61" s="25">
        <v>40982</v>
      </c>
      <c r="AD61" s="25">
        <v>40982</v>
      </c>
      <c r="AE61" s="25">
        <v>40982</v>
      </c>
      <c r="AF61" s="8"/>
      <c r="AG61" s="59" t="str">
        <f t="shared" ca="1" si="34"/>
        <v>NA</v>
      </c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59" t="str">
        <f t="shared" si="90"/>
        <v>NA</v>
      </c>
      <c r="AS61" s="59" t="str">
        <f t="shared" si="91"/>
        <v/>
      </c>
      <c r="AT61" s="59"/>
      <c r="AU61" s="59" t="str">
        <f t="shared" si="1"/>
        <v>ND</v>
      </c>
      <c r="AV61" s="66"/>
      <c r="AW61" s="66"/>
      <c r="AX61" s="66"/>
      <c r="AY61" s="66"/>
      <c r="AZ61" s="8"/>
      <c r="BA61" s="8" t="s">
        <v>37</v>
      </c>
      <c r="BB61" s="8"/>
      <c r="BC61" s="8"/>
      <c r="BD61" s="8"/>
      <c r="BE61" s="8"/>
      <c r="BF61" s="8"/>
      <c r="BG61" s="8"/>
      <c r="BH61" s="8"/>
      <c r="BI61" s="8"/>
      <c r="BJ61" s="8"/>
      <c r="BK61" s="59"/>
      <c r="BL61" s="59"/>
      <c r="BM61" s="59"/>
      <c r="BN61" s="164">
        <v>0.01</v>
      </c>
      <c r="BO61" s="165">
        <f t="shared" si="37"/>
        <v>3753.3333333333335</v>
      </c>
      <c r="BP61" s="165">
        <f t="shared" ref="BP61:BQ61" si="156">BO61</f>
        <v>3753.3333333333335</v>
      </c>
      <c r="BQ61" s="165">
        <f t="shared" si="156"/>
        <v>3753.3333333333335</v>
      </c>
      <c r="BR61" s="59"/>
      <c r="BS61" s="59"/>
      <c r="BT61" s="59"/>
      <c r="BU61" s="59"/>
      <c r="BV61" s="59" t="str">
        <f t="shared" si="83"/>
        <v>ND</v>
      </c>
      <c r="BW61" s="59" t="str">
        <f t="shared" si="84"/>
        <v>ND</v>
      </c>
      <c r="BX61" s="59" t="str">
        <f t="shared" si="85"/>
        <v>ND</v>
      </c>
      <c r="BY61" s="59" t="str">
        <f t="shared" si="86"/>
        <v>ND</v>
      </c>
      <c r="BZ61" s="59" t="str">
        <f t="shared" si="3"/>
        <v>NA</v>
      </c>
      <c r="CA61" s="59" t="str">
        <f t="shared" si="4"/>
        <v/>
      </c>
      <c r="CB61" s="59" t="str">
        <f t="shared" si="5"/>
        <v>NA</v>
      </c>
      <c r="CC61" s="59" t="str">
        <f t="shared" si="6"/>
        <v/>
      </c>
      <c r="CD61" s="59" t="str">
        <f t="shared" si="7"/>
        <v>NA</v>
      </c>
      <c r="CE61" s="59" t="str">
        <f t="shared" si="8"/>
        <v/>
      </c>
      <c r="CF61" s="59" t="str">
        <f t="shared" si="9"/>
        <v>NA</v>
      </c>
      <c r="CG61" s="59" t="str">
        <f t="shared" ca="1" si="10"/>
        <v>NA</v>
      </c>
      <c r="CH61" s="59" t="str">
        <f t="shared" ca="1" si="11"/>
        <v>NA</v>
      </c>
      <c r="CI61" s="59" t="str">
        <f t="shared" ca="1" si="12"/>
        <v>MAYOR A 45 DIAS</v>
      </c>
      <c r="CJ61" s="59" t="str">
        <f t="shared" ca="1" si="13"/>
        <v>MAYOR A 45 DIAS</v>
      </c>
      <c r="CK61" s="59" t="str">
        <f t="shared" ca="1" si="14"/>
        <v>MAYOR A 45 DIAS</v>
      </c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>
        <f t="shared" si="43"/>
        <v>0</v>
      </c>
      <c r="DH61" s="8">
        <f t="shared" si="79"/>
        <v>0</v>
      </c>
      <c r="DI61" s="8">
        <f t="shared" si="44"/>
        <v>0</v>
      </c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59" t="str">
        <f t="shared" si="45"/>
        <v>NA</v>
      </c>
      <c r="DU61" s="59" t="str">
        <f t="shared" si="46"/>
        <v>NA</v>
      </c>
      <c r="DV61" s="59" t="str">
        <f t="shared" si="47"/>
        <v>NA</v>
      </c>
      <c r="DW61" s="59" t="str">
        <f t="shared" si="48"/>
        <v>NA</v>
      </c>
      <c r="DX61" s="59" t="str">
        <f t="shared" si="49"/>
        <v>NA</v>
      </c>
      <c r="DY61" s="59" t="str">
        <f t="shared" si="50"/>
        <v>NA</v>
      </c>
      <c r="DZ61" s="59" t="str">
        <f t="shared" si="51"/>
        <v>NA</v>
      </c>
      <c r="EA61" s="59" t="str">
        <f t="shared" si="52"/>
        <v>NA</v>
      </c>
      <c r="EB61" s="59" t="str">
        <f t="shared" si="53"/>
        <v>NA</v>
      </c>
      <c r="EC61" s="59" t="str">
        <f t="shared" si="54"/>
        <v>NA</v>
      </c>
      <c r="ED61" s="59" t="str">
        <f t="shared" si="55"/>
        <v/>
      </c>
      <c r="EE61" s="59" t="str">
        <f t="shared" si="56"/>
        <v/>
      </c>
      <c r="EF61" s="59" t="str">
        <f t="shared" si="57"/>
        <v/>
      </c>
      <c r="EG61" s="59" t="str">
        <f t="shared" si="58"/>
        <v/>
      </c>
      <c r="EH61" s="59" t="str">
        <f t="shared" si="59"/>
        <v/>
      </c>
      <c r="EI61" s="59" t="str">
        <f t="shared" si="60"/>
        <v/>
      </c>
      <c r="EJ61" s="59" t="str">
        <f t="shared" si="61"/>
        <v/>
      </c>
      <c r="EK61" s="59" t="str">
        <f t="shared" si="62"/>
        <v/>
      </c>
      <c r="EL61" s="59" t="str">
        <f t="shared" si="63"/>
        <v/>
      </c>
      <c r="EM61" s="59" t="str">
        <f t="shared" si="64"/>
        <v/>
      </c>
      <c r="EN61" s="59" t="str">
        <f t="shared" si="65"/>
        <v/>
      </c>
      <c r="EO61" s="59" t="str">
        <f t="shared" si="66"/>
        <v/>
      </c>
      <c r="EP61" s="59" t="str">
        <f t="shared" si="67"/>
        <v/>
      </c>
      <c r="EQ61" s="59" t="str">
        <f t="shared" si="68"/>
        <v/>
      </c>
      <c r="ER61" s="59" t="str">
        <f t="shared" si="69"/>
        <v/>
      </c>
      <c r="ES61" s="59" t="str">
        <f t="shared" si="70"/>
        <v/>
      </c>
      <c r="ET61" s="59" t="str">
        <f t="shared" si="71"/>
        <v/>
      </c>
      <c r="EU61" s="59" t="str">
        <f t="shared" si="72"/>
        <v/>
      </c>
      <c r="EV61" s="59" t="str">
        <f t="shared" si="73"/>
        <v/>
      </c>
      <c r="EW61" s="59" t="str">
        <f t="shared" si="74"/>
        <v/>
      </c>
      <c r="EX61" s="56">
        <f t="shared" si="26"/>
        <v>1126000</v>
      </c>
    </row>
    <row r="62" spans="1:154" x14ac:dyDescent="0.25">
      <c r="A62" s="2">
        <f t="shared" si="75"/>
        <v>61</v>
      </c>
      <c r="B62" s="2" t="s">
        <v>6</v>
      </c>
      <c r="C62" s="2" t="str">
        <f t="shared" si="27"/>
        <v>020510</v>
      </c>
      <c r="D62" s="2">
        <v>2</v>
      </c>
      <c r="E62" s="2">
        <v>5</v>
      </c>
      <c r="F62" s="2">
        <v>10</v>
      </c>
      <c r="G62" s="11" t="s">
        <v>13</v>
      </c>
      <c r="H62" s="4"/>
      <c r="I62" s="42" t="s">
        <v>58</v>
      </c>
      <c r="J62" s="9">
        <v>94.759</v>
      </c>
      <c r="K62" s="9"/>
      <c r="L62" s="10" t="s">
        <v>8</v>
      </c>
      <c r="M62" s="24" t="s">
        <v>178</v>
      </c>
      <c r="N62" s="7">
        <f t="shared" si="76"/>
        <v>1191084.2</v>
      </c>
      <c r="O62" s="8">
        <v>100</v>
      </c>
      <c r="P62" s="25">
        <v>41258</v>
      </c>
      <c r="Q62" s="8" t="str">
        <f t="shared" si="28"/>
        <v>2DA-DIC</v>
      </c>
      <c r="R62" s="26">
        <v>0</v>
      </c>
      <c r="S62" s="41" t="s">
        <v>34</v>
      </c>
      <c r="T62" s="8" t="s">
        <v>353</v>
      </c>
      <c r="U62" s="8"/>
      <c r="V62" s="7">
        <v>595542.1</v>
      </c>
      <c r="W62" s="7">
        <f>+V62*0.48</f>
        <v>285860.20799999998</v>
      </c>
      <c r="X62" s="7">
        <f t="shared" si="29"/>
        <v>309681.89199999999</v>
      </c>
      <c r="Y62" s="7">
        <v>0</v>
      </c>
      <c r="Z62" s="7">
        <f t="shared" si="30"/>
        <v>285860.20799999998</v>
      </c>
      <c r="AA62" s="148" t="str">
        <f t="shared" si="31"/>
        <v>50%</v>
      </c>
      <c r="AB62" s="148">
        <f t="shared" si="32"/>
        <v>0.5</v>
      </c>
      <c r="AC62" s="25">
        <v>41106</v>
      </c>
      <c r="AD62" s="25">
        <v>41106</v>
      </c>
      <c r="AE62" s="25">
        <v>41106</v>
      </c>
      <c r="AF62" s="8"/>
      <c r="AG62" s="59" t="str">
        <f t="shared" ca="1" si="34"/>
        <v>NA</v>
      </c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59" t="str">
        <f t="shared" si="90"/>
        <v>NA</v>
      </c>
      <c r="AS62" s="59" t="str">
        <f t="shared" si="91"/>
        <v/>
      </c>
      <c r="AT62" s="59"/>
      <c r="AU62" s="59" t="str">
        <f t="shared" si="1"/>
        <v>ND</v>
      </c>
      <c r="AV62" s="66"/>
      <c r="AW62" s="66"/>
      <c r="AX62" s="66"/>
      <c r="AY62" s="66"/>
      <c r="AZ62" s="8"/>
      <c r="BA62" s="8" t="s">
        <v>37</v>
      </c>
      <c r="BB62" s="8"/>
      <c r="BC62" s="8"/>
      <c r="BD62" s="8"/>
      <c r="BE62" s="8"/>
      <c r="BF62" s="8"/>
      <c r="BG62" s="8"/>
      <c r="BH62" s="8"/>
      <c r="BI62" s="8"/>
      <c r="BJ62" s="8"/>
      <c r="BK62" s="59"/>
      <c r="BL62" s="59"/>
      <c r="BM62" s="59"/>
      <c r="BN62" s="164">
        <v>0.01</v>
      </c>
      <c r="BO62" s="165">
        <f t="shared" si="37"/>
        <v>3970.280666666667</v>
      </c>
      <c r="BP62" s="165">
        <f t="shared" ref="BP62:BQ62" si="157">BO62</f>
        <v>3970.280666666667</v>
      </c>
      <c r="BQ62" s="165">
        <f t="shared" si="157"/>
        <v>3970.280666666667</v>
      </c>
      <c r="BR62" s="59"/>
      <c r="BS62" s="59"/>
      <c r="BT62" s="59"/>
      <c r="BU62" s="59"/>
      <c r="BV62" s="59" t="str">
        <f t="shared" si="83"/>
        <v>ND</v>
      </c>
      <c r="BW62" s="59" t="str">
        <f t="shared" si="84"/>
        <v>ND</v>
      </c>
      <c r="BX62" s="59" t="str">
        <f t="shared" si="85"/>
        <v>ND</v>
      </c>
      <c r="BY62" s="59" t="str">
        <f t="shared" si="86"/>
        <v>ND</v>
      </c>
      <c r="BZ62" s="59" t="str">
        <f t="shared" si="3"/>
        <v>NA</v>
      </c>
      <c r="CA62" s="59" t="str">
        <f t="shared" si="4"/>
        <v/>
      </c>
      <c r="CB62" s="59" t="str">
        <f t="shared" si="5"/>
        <v>NA</v>
      </c>
      <c r="CC62" s="59" t="str">
        <f t="shared" si="6"/>
        <v/>
      </c>
      <c r="CD62" s="59" t="str">
        <f t="shared" si="7"/>
        <v>NA</v>
      </c>
      <c r="CE62" s="59" t="str">
        <f t="shared" si="8"/>
        <v/>
      </c>
      <c r="CF62" s="59" t="str">
        <f t="shared" si="9"/>
        <v>NA</v>
      </c>
      <c r="CG62" s="59" t="str">
        <f t="shared" ca="1" si="10"/>
        <v>NA</v>
      </c>
      <c r="CH62" s="59" t="str">
        <f t="shared" ca="1" si="11"/>
        <v>NA</v>
      </c>
      <c r="CI62" s="59" t="str">
        <f t="shared" ca="1" si="12"/>
        <v>DE 16 A 20 DIAS</v>
      </c>
      <c r="CJ62" s="59" t="str">
        <f t="shared" ca="1" si="13"/>
        <v>DE 16 A 20 DIAS</v>
      </c>
      <c r="CK62" s="59" t="str">
        <f t="shared" ca="1" si="14"/>
        <v>DE 16 A 20 DIAS</v>
      </c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>
        <f t="shared" si="43"/>
        <v>0</v>
      </c>
      <c r="DH62" s="8">
        <f t="shared" si="79"/>
        <v>0</v>
      </c>
      <c r="DI62" s="8">
        <f t="shared" si="44"/>
        <v>0</v>
      </c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59" t="str">
        <f t="shared" si="45"/>
        <v>NA</v>
      </c>
      <c r="DU62" s="59" t="str">
        <f t="shared" si="46"/>
        <v>NA</v>
      </c>
      <c r="DV62" s="59" t="str">
        <f t="shared" si="47"/>
        <v>NA</v>
      </c>
      <c r="DW62" s="59" t="str">
        <f t="shared" si="48"/>
        <v>NA</v>
      </c>
      <c r="DX62" s="59" t="str">
        <f t="shared" si="49"/>
        <v>NA</v>
      </c>
      <c r="DY62" s="59" t="str">
        <f t="shared" si="50"/>
        <v>NA</v>
      </c>
      <c r="DZ62" s="59" t="str">
        <f t="shared" si="51"/>
        <v>NA</v>
      </c>
      <c r="EA62" s="59" t="str">
        <f t="shared" si="52"/>
        <v>NA</v>
      </c>
      <c r="EB62" s="59" t="str">
        <f t="shared" si="53"/>
        <v>NA</v>
      </c>
      <c r="EC62" s="59" t="str">
        <f t="shared" si="54"/>
        <v>NA</v>
      </c>
      <c r="ED62" s="59" t="str">
        <f t="shared" si="55"/>
        <v/>
      </c>
      <c r="EE62" s="59" t="str">
        <f t="shared" si="56"/>
        <v/>
      </c>
      <c r="EF62" s="59" t="str">
        <f t="shared" si="57"/>
        <v/>
      </c>
      <c r="EG62" s="59" t="str">
        <f t="shared" si="58"/>
        <v/>
      </c>
      <c r="EH62" s="59" t="str">
        <f t="shared" si="59"/>
        <v/>
      </c>
      <c r="EI62" s="59" t="str">
        <f t="shared" si="60"/>
        <v/>
      </c>
      <c r="EJ62" s="59" t="str">
        <f t="shared" si="61"/>
        <v/>
      </c>
      <c r="EK62" s="59" t="str">
        <f t="shared" si="62"/>
        <v/>
      </c>
      <c r="EL62" s="59" t="str">
        <f t="shared" si="63"/>
        <v/>
      </c>
      <c r="EM62" s="59" t="str">
        <f t="shared" si="64"/>
        <v/>
      </c>
      <c r="EN62" s="59" t="str">
        <f t="shared" si="65"/>
        <v/>
      </c>
      <c r="EO62" s="59" t="str">
        <f t="shared" si="66"/>
        <v/>
      </c>
      <c r="EP62" s="59" t="str">
        <f t="shared" si="67"/>
        <v/>
      </c>
      <c r="EQ62" s="59" t="str">
        <f t="shared" si="68"/>
        <v/>
      </c>
      <c r="ER62" s="59" t="str">
        <f t="shared" si="69"/>
        <v/>
      </c>
      <c r="ES62" s="59" t="str">
        <f t="shared" si="70"/>
        <v/>
      </c>
      <c r="ET62" s="59" t="str">
        <f t="shared" si="71"/>
        <v/>
      </c>
      <c r="EU62" s="59" t="str">
        <f t="shared" si="72"/>
        <v/>
      </c>
      <c r="EV62" s="59" t="str">
        <f t="shared" si="73"/>
        <v/>
      </c>
      <c r="EW62" s="59" t="str">
        <f t="shared" si="74"/>
        <v/>
      </c>
      <c r="EX62" s="56">
        <f t="shared" si="26"/>
        <v>1191084.2</v>
      </c>
    </row>
    <row r="63" spans="1:154" x14ac:dyDescent="0.25">
      <c r="A63" s="2">
        <f t="shared" si="75"/>
        <v>62</v>
      </c>
      <c r="B63" s="2" t="s">
        <v>6</v>
      </c>
      <c r="C63" s="2" t="str">
        <f t="shared" si="27"/>
        <v>020511</v>
      </c>
      <c r="D63" s="2">
        <v>2</v>
      </c>
      <c r="E63" s="2">
        <v>5</v>
      </c>
      <c r="F63" s="2">
        <v>11</v>
      </c>
      <c r="G63" s="11" t="s">
        <v>13</v>
      </c>
      <c r="H63" s="4"/>
      <c r="I63" s="42" t="s">
        <v>58</v>
      </c>
      <c r="J63" s="9">
        <v>80</v>
      </c>
      <c r="K63" s="9"/>
      <c r="L63" s="10" t="s">
        <v>8</v>
      </c>
      <c r="M63" s="24" t="s">
        <v>178</v>
      </c>
      <c r="N63" s="7">
        <f t="shared" si="76"/>
        <v>1135000</v>
      </c>
      <c r="O63" s="8">
        <v>101</v>
      </c>
      <c r="P63" s="25">
        <v>41258</v>
      </c>
      <c r="Q63" s="8" t="str">
        <f t="shared" si="28"/>
        <v>2DA-DIC</v>
      </c>
      <c r="R63" s="26">
        <v>0</v>
      </c>
      <c r="S63" s="41" t="s">
        <v>34</v>
      </c>
      <c r="T63" s="8" t="s">
        <v>353</v>
      </c>
      <c r="U63" s="8"/>
      <c r="V63" s="7">
        <v>567500</v>
      </c>
      <c r="W63" s="7">
        <f t="shared" ref="W63:W70" si="158">+V63*0.48</f>
        <v>272400</v>
      </c>
      <c r="X63" s="7">
        <f t="shared" si="29"/>
        <v>295100</v>
      </c>
      <c r="Y63" s="7">
        <v>0</v>
      </c>
      <c r="Z63" s="7">
        <f t="shared" si="30"/>
        <v>272400</v>
      </c>
      <c r="AA63" s="148" t="str">
        <f t="shared" si="31"/>
        <v>50%</v>
      </c>
      <c r="AB63" s="148">
        <f t="shared" si="32"/>
        <v>0.5</v>
      </c>
      <c r="AC63" s="25">
        <v>41090</v>
      </c>
      <c r="AD63" s="25">
        <v>41090</v>
      </c>
      <c r="AE63" s="25">
        <v>41090</v>
      </c>
      <c r="AF63" s="8"/>
      <c r="AG63" s="59" t="str">
        <f t="shared" ca="1" si="34"/>
        <v>NA</v>
      </c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59" t="str">
        <f t="shared" si="90"/>
        <v>NA</v>
      </c>
      <c r="AS63" s="59" t="str">
        <f t="shared" si="91"/>
        <v/>
      </c>
      <c r="AT63" s="59"/>
      <c r="AU63" s="59" t="str">
        <f t="shared" si="1"/>
        <v>ND</v>
      </c>
      <c r="AV63" s="66"/>
      <c r="AW63" s="66"/>
      <c r="AX63" s="66"/>
      <c r="AY63" s="66"/>
      <c r="AZ63" s="8"/>
      <c r="BA63" s="8" t="s">
        <v>37</v>
      </c>
      <c r="BB63" s="8"/>
      <c r="BC63" s="8"/>
      <c r="BD63" s="8"/>
      <c r="BE63" s="8"/>
      <c r="BF63" s="8"/>
      <c r="BG63" s="8"/>
      <c r="BH63" s="8"/>
      <c r="BI63" s="8"/>
      <c r="BJ63" s="8"/>
      <c r="BK63" s="59"/>
      <c r="BL63" s="59"/>
      <c r="BM63" s="59"/>
      <c r="BN63" s="164">
        <v>0.01</v>
      </c>
      <c r="BO63" s="165">
        <f t="shared" si="37"/>
        <v>3783.3333333333335</v>
      </c>
      <c r="BP63" s="165">
        <f t="shared" ref="BP63:BQ63" si="159">BO63</f>
        <v>3783.3333333333335</v>
      </c>
      <c r="BQ63" s="165">
        <f t="shared" si="159"/>
        <v>3783.3333333333335</v>
      </c>
      <c r="BR63" s="59"/>
      <c r="BS63" s="59"/>
      <c r="BT63" s="59"/>
      <c r="BU63" s="59"/>
      <c r="BV63" s="59" t="str">
        <f t="shared" si="83"/>
        <v>ND</v>
      </c>
      <c r="BW63" s="59" t="str">
        <f t="shared" si="84"/>
        <v>ND</v>
      </c>
      <c r="BX63" s="59" t="str">
        <f t="shared" si="85"/>
        <v>ND</v>
      </c>
      <c r="BY63" s="59" t="str">
        <f t="shared" si="86"/>
        <v>ND</v>
      </c>
      <c r="BZ63" s="59" t="str">
        <f t="shared" si="3"/>
        <v>NA</v>
      </c>
      <c r="CA63" s="59" t="str">
        <f t="shared" si="4"/>
        <v/>
      </c>
      <c r="CB63" s="59" t="str">
        <f t="shared" si="5"/>
        <v>NA</v>
      </c>
      <c r="CC63" s="59" t="str">
        <f t="shared" si="6"/>
        <v/>
      </c>
      <c r="CD63" s="59" t="str">
        <f t="shared" si="7"/>
        <v>NA</v>
      </c>
      <c r="CE63" s="59" t="str">
        <f t="shared" si="8"/>
        <v/>
      </c>
      <c r="CF63" s="59" t="str">
        <f t="shared" si="9"/>
        <v>NA</v>
      </c>
      <c r="CG63" s="59" t="str">
        <f t="shared" ca="1" si="10"/>
        <v>NA</v>
      </c>
      <c r="CH63" s="59" t="str">
        <f t="shared" ca="1" si="11"/>
        <v>NA</v>
      </c>
      <c r="CI63" s="59" t="str">
        <f t="shared" ca="1" si="12"/>
        <v>DE 31 A 35 DIAS</v>
      </c>
      <c r="CJ63" s="59" t="str">
        <f t="shared" ca="1" si="13"/>
        <v>DE 31 A 35 DIAS</v>
      </c>
      <c r="CK63" s="59" t="str">
        <f t="shared" ca="1" si="14"/>
        <v>DE 31 A 35 DIAS</v>
      </c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>
        <f t="shared" si="43"/>
        <v>0</v>
      </c>
      <c r="DH63" s="8">
        <f t="shared" si="79"/>
        <v>0</v>
      </c>
      <c r="DI63" s="8">
        <f t="shared" si="44"/>
        <v>0</v>
      </c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59" t="str">
        <f t="shared" si="45"/>
        <v>NA</v>
      </c>
      <c r="DU63" s="59" t="str">
        <f t="shared" si="46"/>
        <v>NA</v>
      </c>
      <c r="DV63" s="59" t="str">
        <f t="shared" si="47"/>
        <v>NA</v>
      </c>
      <c r="DW63" s="59" t="str">
        <f t="shared" si="48"/>
        <v>NA</v>
      </c>
      <c r="DX63" s="59" t="str">
        <f t="shared" si="49"/>
        <v>NA</v>
      </c>
      <c r="DY63" s="59" t="str">
        <f t="shared" si="50"/>
        <v>NA</v>
      </c>
      <c r="DZ63" s="59" t="str">
        <f t="shared" si="51"/>
        <v>NA</v>
      </c>
      <c r="EA63" s="59" t="str">
        <f t="shared" si="52"/>
        <v>NA</v>
      </c>
      <c r="EB63" s="59" t="str">
        <f t="shared" si="53"/>
        <v>NA</v>
      </c>
      <c r="EC63" s="59" t="str">
        <f t="shared" si="54"/>
        <v>NA</v>
      </c>
      <c r="ED63" s="59" t="str">
        <f t="shared" si="55"/>
        <v/>
      </c>
      <c r="EE63" s="59" t="str">
        <f t="shared" si="56"/>
        <v/>
      </c>
      <c r="EF63" s="59" t="str">
        <f t="shared" si="57"/>
        <v/>
      </c>
      <c r="EG63" s="59" t="str">
        <f t="shared" si="58"/>
        <v/>
      </c>
      <c r="EH63" s="59" t="str">
        <f t="shared" si="59"/>
        <v/>
      </c>
      <c r="EI63" s="59" t="str">
        <f t="shared" si="60"/>
        <v/>
      </c>
      <c r="EJ63" s="59" t="str">
        <f t="shared" si="61"/>
        <v/>
      </c>
      <c r="EK63" s="59" t="str">
        <f t="shared" si="62"/>
        <v/>
      </c>
      <c r="EL63" s="59" t="str">
        <f t="shared" si="63"/>
        <v/>
      </c>
      <c r="EM63" s="59" t="str">
        <f t="shared" si="64"/>
        <v/>
      </c>
      <c r="EN63" s="59" t="str">
        <f t="shared" si="65"/>
        <v/>
      </c>
      <c r="EO63" s="59" t="str">
        <f t="shared" si="66"/>
        <v/>
      </c>
      <c r="EP63" s="59" t="str">
        <f t="shared" si="67"/>
        <v/>
      </c>
      <c r="EQ63" s="59" t="str">
        <f t="shared" si="68"/>
        <v/>
      </c>
      <c r="ER63" s="59" t="str">
        <f t="shared" si="69"/>
        <v/>
      </c>
      <c r="ES63" s="59" t="str">
        <f t="shared" si="70"/>
        <v/>
      </c>
      <c r="ET63" s="59" t="str">
        <f t="shared" si="71"/>
        <v/>
      </c>
      <c r="EU63" s="59" t="str">
        <f t="shared" si="72"/>
        <v/>
      </c>
      <c r="EV63" s="59" t="str">
        <f t="shared" si="73"/>
        <v/>
      </c>
      <c r="EW63" s="59" t="str">
        <f t="shared" si="74"/>
        <v/>
      </c>
      <c r="EX63" s="56">
        <f t="shared" si="26"/>
        <v>1135000</v>
      </c>
    </row>
    <row r="64" spans="1:154" x14ac:dyDescent="0.25">
      <c r="A64" s="2">
        <f t="shared" si="75"/>
        <v>63</v>
      </c>
      <c r="B64" s="2" t="s">
        <v>6</v>
      </c>
      <c r="C64" s="2" t="str">
        <f t="shared" si="27"/>
        <v>020512</v>
      </c>
      <c r="D64" s="2">
        <v>2</v>
      </c>
      <c r="E64" s="2">
        <v>5</v>
      </c>
      <c r="F64" s="2">
        <v>12</v>
      </c>
      <c r="G64" s="11" t="s">
        <v>13</v>
      </c>
      <c r="H64" s="4"/>
      <c r="I64" s="42" t="s">
        <v>58</v>
      </c>
      <c r="J64" s="9">
        <v>80</v>
      </c>
      <c r="K64" s="5"/>
      <c r="L64" s="6" t="s">
        <v>306</v>
      </c>
      <c r="M64" s="24" t="s">
        <v>178</v>
      </c>
      <c r="N64" s="7">
        <f t="shared" si="76"/>
        <v>1126000</v>
      </c>
      <c r="O64" s="8">
        <v>102</v>
      </c>
      <c r="P64" s="25">
        <v>41258</v>
      </c>
      <c r="Q64" s="8" t="str">
        <f t="shared" si="28"/>
        <v>2DA-DIC</v>
      </c>
      <c r="R64" s="26">
        <v>0</v>
      </c>
      <c r="S64" s="41" t="s">
        <v>34</v>
      </c>
      <c r="T64" s="8" t="s">
        <v>353</v>
      </c>
      <c r="U64" s="8"/>
      <c r="V64" s="7">
        <v>563000</v>
      </c>
      <c r="W64" s="7">
        <f t="shared" si="158"/>
        <v>270240</v>
      </c>
      <c r="X64" s="7">
        <f t="shared" si="29"/>
        <v>292760</v>
      </c>
      <c r="Y64" s="7">
        <v>0</v>
      </c>
      <c r="Z64" s="7">
        <f t="shared" si="30"/>
        <v>270240</v>
      </c>
      <c r="AA64" s="148" t="str">
        <f t="shared" si="31"/>
        <v>50%</v>
      </c>
      <c r="AB64" s="148">
        <f t="shared" si="32"/>
        <v>0.5</v>
      </c>
      <c r="AC64" s="25">
        <v>41075</v>
      </c>
      <c r="AD64" s="25">
        <v>41075</v>
      </c>
      <c r="AE64" s="25">
        <v>41075</v>
      </c>
      <c r="AF64" s="8"/>
      <c r="AG64" s="59" t="str">
        <f t="shared" ca="1" si="34"/>
        <v>NA</v>
      </c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59" t="str">
        <f t="shared" si="90"/>
        <v>NA</v>
      </c>
      <c r="AS64" s="59" t="str">
        <f t="shared" si="91"/>
        <v/>
      </c>
      <c r="AT64" s="59"/>
      <c r="AU64" s="59" t="str">
        <f t="shared" si="1"/>
        <v>ND</v>
      </c>
      <c r="AV64" s="66"/>
      <c r="AW64" s="66"/>
      <c r="AX64" s="66"/>
      <c r="AY64" s="66"/>
      <c r="AZ64" s="8"/>
      <c r="BA64" s="8" t="s">
        <v>37</v>
      </c>
      <c r="BB64" s="8"/>
      <c r="BC64" s="8"/>
      <c r="BD64" s="8"/>
      <c r="BE64" s="8"/>
      <c r="BF64" s="8"/>
      <c r="BG64" s="8"/>
      <c r="BH64" s="8"/>
      <c r="BI64" s="8"/>
      <c r="BJ64" s="8"/>
      <c r="BK64" s="59"/>
      <c r="BL64" s="59"/>
      <c r="BM64" s="59"/>
      <c r="BN64" s="164">
        <v>0.01</v>
      </c>
      <c r="BO64" s="165">
        <f t="shared" si="37"/>
        <v>3753.3333333333335</v>
      </c>
      <c r="BP64" s="165">
        <f t="shared" ref="BP64:BQ64" si="160">BO64</f>
        <v>3753.3333333333335</v>
      </c>
      <c r="BQ64" s="165">
        <f t="shared" si="160"/>
        <v>3753.3333333333335</v>
      </c>
      <c r="BR64" s="59"/>
      <c r="BS64" s="59"/>
      <c r="BT64" s="59"/>
      <c r="BU64" s="59"/>
      <c r="BV64" s="59" t="str">
        <f t="shared" si="83"/>
        <v>ND</v>
      </c>
      <c r="BW64" s="59" t="str">
        <f t="shared" si="84"/>
        <v>ND</v>
      </c>
      <c r="BX64" s="59" t="str">
        <f t="shared" si="85"/>
        <v>ND</v>
      </c>
      <c r="BY64" s="59" t="str">
        <f t="shared" si="86"/>
        <v>ND</v>
      </c>
      <c r="BZ64" s="59" t="str">
        <f t="shared" si="3"/>
        <v>NA</v>
      </c>
      <c r="CA64" s="59" t="str">
        <f t="shared" si="4"/>
        <v/>
      </c>
      <c r="CB64" s="59" t="str">
        <f t="shared" si="5"/>
        <v>NA</v>
      </c>
      <c r="CC64" s="59" t="str">
        <f t="shared" si="6"/>
        <v/>
      </c>
      <c r="CD64" s="59" t="str">
        <f t="shared" si="7"/>
        <v>NA</v>
      </c>
      <c r="CE64" s="59" t="str">
        <f t="shared" si="8"/>
        <v/>
      </c>
      <c r="CF64" s="59" t="str">
        <f t="shared" si="9"/>
        <v>NA</v>
      </c>
      <c r="CG64" s="59" t="str">
        <f t="shared" ca="1" si="10"/>
        <v>NA</v>
      </c>
      <c r="CH64" s="59" t="str">
        <f t="shared" ca="1" si="11"/>
        <v>NA</v>
      </c>
      <c r="CI64" s="59" t="str">
        <f t="shared" ca="1" si="12"/>
        <v>MAYOR A 45 DIAS</v>
      </c>
      <c r="CJ64" s="59" t="str">
        <f t="shared" ca="1" si="13"/>
        <v>MAYOR A 45 DIAS</v>
      </c>
      <c r="CK64" s="59" t="str">
        <f t="shared" ca="1" si="14"/>
        <v>MAYOR A 45 DIAS</v>
      </c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>
        <f t="shared" si="43"/>
        <v>0</v>
      </c>
      <c r="DH64" s="8">
        <f t="shared" si="79"/>
        <v>0</v>
      </c>
      <c r="DI64" s="8">
        <f t="shared" si="44"/>
        <v>0</v>
      </c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59" t="str">
        <f t="shared" si="45"/>
        <v>NA</v>
      </c>
      <c r="DU64" s="59" t="str">
        <f t="shared" si="46"/>
        <v>NA</v>
      </c>
      <c r="DV64" s="59" t="str">
        <f t="shared" si="47"/>
        <v>NA</v>
      </c>
      <c r="DW64" s="59" t="str">
        <f t="shared" si="48"/>
        <v>NA</v>
      </c>
      <c r="DX64" s="59" t="str">
        <f t="shared" si="49"/>
        <v>NA</v>
      </c>
      <c r="DY64" s="59" t="str">
        <f t="shared" si="50"/>
        <v>NA</v>
      </c>
      <c r="DZ64" s="59" t="str">
        <f t="shared" si="51"/>
        <v>NA</v>
      </c>
      <c r="EA64" s="59" t="str">
        <f t="shared" si="52"/>
        <v>NA</v>
      </c>
      <c r="EB64" s="59" t="str">
        <f t="shared" si="53"/>
        <v>NA</v>
      </c>
      <c r="EC64" s="59" t="str">
        <f t="shared" si="54"/>
        <v>NA</v>
      </c>
      <c r="ED64" s="59" t="str">
        <f t="shared" si="55"/>
        <v/>
      </c>
      <c r="EE64" s="59" t="str">
        <f t="shared" si="56"/>
        <v/>
      </c>
      <c r="EF64" s="59" t="str">
        <f t="shared" si="57"/>
        <v/>
      </c>
      <c r="EG64" s="59" t="str">
        <f t="shared" si="58"/>
        <v/>
      </c>
      <c r="EH64" s="59" t="str">
        <f t="shared" si="59"/>
        <v/>
      </c>
      <c r="EI64" s="59" t="str">
        <f t="shared" si="60"/>
        <v/>
      </c>
      <c r="EJ64" s="59" t="str">
        <f t="shared" si="61"/>
        <v/>
      </c>
      <c r="EK64" s="59" t="str">
        <f t="shared" si="62"/>
        <v/>
      </c>
      <c r="EL64" s="59" t="str">
        <f t="shared" si="63"/>
        <v/>
      </c>
      <c r="EM64" s="59" t="str">
        <f t="shared" si="64"/>
        <v/>
      </c>
      <c r="EN64" s="59" t="str">
        <f t="shared" si="65"/>
        <v/>
      </c>
      <c r="EO64" s="59" t="str">
        <f t="shared" si="66"/>
        <v/>
      </c>
      <c r="EP64" s="59" t="str">
        <f t="shared" si="67"/>
        <v/>
      </c>
      <c r="EQ64" s="59" t="str">
        <f t="shared" si="68"/>
        <v/>
      </c>
      <c r="ER64" s="59" t="str">
        <f t="shared" si="69"/>
        <v/>
      </c>
      <c r="ES64" s="59" t="str">
        <f t="shared" si="70"/>
        <v/>
      </c>
      <c r="ET64" s="59" t="str">
        <f t="shared" si="71"/>
        <v/>
      </c>
      <c r="EU64" s="59" t="str">
        <f t="shared" si="72"/>
        <v/>
      </c>
      <c r="EV64" s="59" t="str">
        <f t="shared" si="73"/>
        <v/>
      </c>
      <c r="EW64" s="59" t="str">
        <f t="shared" si="74"/>
        <v/>
      </c>
      <c r="EX64" s="56">
        <f t="shared" si="26"/>
        <v>1126000</v>
      </c>
    </row>
    <row r="65" spans="1:154" x14ac:dyDescent="0.25">
      <c r="A65" s="2">
        <f t="shared" si="75"/>
        <v>64</v>
      </c>
      <c r="B65" s="2" t="s">
        <v>6</v>
      </c>
      <c r="C65" s="2" t="str">
        <f t="shared" si="27"/>
        <v>020513</v>
      </c>
      <c r="D65" s="2">
        <v>2</v>
      </c>
      <c r="E65" s="2">
        <v>5</v>
      </c>
      <c r="F65" s="2">
        <v>13</v>
      </c>
      <c r="G65" s="11" t="s">
        <v>13</v>
      </c>
      <c r="H65" s="4"/>
      <c r="I65" s="42" t="s">
        <v>58</v>
      </c>
      <c r="J65" s="9">
        <v>80</v>
      </c>
      <c r="K65" s="5"/>
      <c r="L65" s="6" t="s">
        <v>306</v>
      </c>
      <c r="M65" s="24" t="s">
        <v>178</v>
      </c>
      <c r="N65" s="7">
        <f t="shared" si="76"/>
        <v>1126000</v>
      </c>
      <c r="O65" s="8">
        <v>103</v>
      </c>
      <c r="P65" s="25">
        <v>41258</v>
      </c>
      <c r="Q65" s="8" t="str">
        <f t="shared" si="28"/>
        <v>2DA-DIC</v>
      </c>
      <c r="R65" s="26">
        <v>0</v>
      </c>
      <c r="S65" s="41" t="s">
        <v>34</v>
      </c>
      <c r="T65" s="8" t="s">
        <v>353</v>
      </c>
      <c r="U65" s="8"/>
      <c r="V65" s="7">
        <v>563000</v>
      </c>
      <c r="W65" s="7">
        <f t="shared" si="158"/>
        <v>270240</v>
      </c>
      <c r="X65" s="7">
        <f t="shared" si="29"/>
        <v>292760</v>
      </c>
      <c r="Y65" s="7">
        <v>0</v>
      </c>
      <c r="Z65" s="7">
        <f t="shared" si="30"/>
        <v>270240</v>
      </c>
      <c r="AA65" s="148" t="str">
        <f t="shared" si="31"/>
        <v>50%</v>
      </c>
      <c r="AB65" s="148">
        <f t="shared" si="32"/>
        <v>0.5</v>
      </c>
      <c r="AC65" s="25">
        <v>41061</v>
      </c>
      <c r="AD65" s="25">
        <v>41061</v>
      </c>
      <c r="AE65" s="25">
        <v>41061</v>
      </c>
      <c r="AF65" s="8"/>
      <c r="AG65" s="59" t="str">
        <f t="shared" ca="1" si="34"/>
        <v>NA</v>
      </c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59" t="str">
        <f t="shared" si="90"/>
        <v>NA</v>
      </c>
      <c r="AS65" s="59" t="str">
        <f t="shared" si="91"/>
        <v/>
      </c>
      <c r="AT65" s="59"/>
      <c r="AU65" s="59" t="str">
        <f t="shared" si="1"/>
        <v>ND</v>
      </c>
      <c r="AV65" s="66"/>
      <c r="AW65" s="66"/>
      <c r="AX65" s="66"/>
      <c r="AY65" s="66"/>
      <c r="AZ65" s="8"/>
      <c r="BA65" s="8" t="s">
        <v>37</v>
      </c>
      <c r="BB65" s="8"/>
      <c r="BC65" s="8"/>
      <c r="BD65" s="8"/>
      <c r="BE65" s="8"/>
      <c r="BF65" s="8"/>
      <c r="BG65" s="8"/>
      <c r="BH65" s="8"/>
      <c r="BI65" s="8"/>
      <c r="BJ65" s="8"/>
      <c r="BK65" s="59"/>
      <c r="BL65" s="59"/>
      <c r="BM65" s="59"/>
      <c r="BN65" s="164">
        <v>0.01</v>
      </c>
      <c r="BO65" s="165">
        <f t="shared" si="37"/>
        <v>3753.3333333333335</v>
      </c>
      <c r="BP65" s="165">
        <f t="shared" ref="BP65:BQ65" si="161">BO65</f>
        <v>3753.3333333333335</v>
      </c>
      <c r="BQ65" s="165">
        <f t="shared" si="161"/>
        <v>3753.3333333333335</v>
      </c>
      <c r="BR65" s="59"/>
      <c r="BS65" s="59"/>
      <c r="BT65" s="59"/>
      <c r="BU65" s="59"/>
      <c r="BV65" s="59" t="str">
        <f t="shared" si="83"/>
        <v>ND</v>
      </c>
      <c r="BW65" s="59" t="str">
        <f t="shared" si="84"/>
        <v>ND</v>
      </c>
      <c r="BX65" s="59" t="str">
        <f t="shared" si="85"/>
        <v>ND</v>
      </c>
      <c r="BY65" s="59" t="str">
        <f t="shared" si="86"/>
        <v>ND</v>
      </c>
      <c r="BZ65" s="59" t="str">
        <f t="shared" si="3"/>
        <v>NA</v>
      </c>
      <c r="CA65" s="59" t="str">
        <f t="shared" si="4"/>
        <v/>
      </c>
      <c r="CB65" s="59" t="str">
        <f t="shared" si="5"/>
        <v>NA</v>
      </c>
      <c r="CC65" s="59" t="str">
        <f t="shared" si="6"/>
        <v/>
      </c>
      <c r="CD65" s="59" t="str">
        <f t="shared" si="7"/>
        <v>NA</v>
      </c>
      <c r="CE65" s="59" t="str">
        <f t="shared" si="8"/>
        <v/>
      </c>
      <c r="CF65" s="59" t="str">
        <f t="shared" si="9"/>
        <v>NA</v>
      </c>
      <c r="CG65" s="59" t="str">
        <f t="shared" ca="1" si="10"/>
        <v>NA</v>
      </c>
      <c r="CH65" s="59" t="str">
        <f t="shared" ca="1" si="11"/>
        <v>NA</v>
      </c>
      <c r="CI65" s="59" t="str">
        <f t="shared" ca="1" si="12"/>
        <v>MAYOR A 45 DIAS</v>
      </c>
      <c r="CJ65" s="59" t="str">
        <f t="shared" ca="1" si="13"/>
        <v>MAYOR A 45 DIAS</v>
      </c>
      <c r="CK65" s="59" t="str">
        <f t="shared" ca="1" si="14"/>
        <v>MAYOR A 45 DIAS</v>
      </c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>
        <f t="shared" si="43"/>
        <v>0</v>
      </c>
      <c r="DH65" s="8">
        <f t="shared" si="79"/>
        <v>0</v>
      </c>
      <c r="DI65" s="8">
        <f t="shared" si="44"/>
        <v>0</v>
      </c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59" t="str">
        <f t="shared" si="45"/>
        <v>NA</v>
      </c>
      <c r="DU65" s="59" t="str">
        <f t="shared" si="46"/>
        <v>NA</v>
      </c>
      <c r="DV65" s="59" t="str">
        <f t="shared" si="47"/>
        <v>NA</v>
      </c>
      <c r="DW65" s="59" t="str">
        <f t="shared" si="48"/>
        <v>NA</v>
      </c>
      <c r="DX65" s="59" t="str">
        <f t="shared" si="49"/>
        <v>NA</v>
      </c>
      <c r="DY65" s="59" t="str">
        <f t="shared" si="50"/>
        <v>NA</v>
      </c>
      <c r="DZ65" s="59" t="str">
        <f t="shared" si="51"/>
        <v>NA</v>
      </c>
      <c r="EA65" s="59" t="str">
        <f t="shared" si="52"/>
        <v>NA</v>
      </c>
      <c r="EB65" s="59" t="str">
        <f t="shared" si="53"/>
        <v>NA</v>
      </c>
      <c r="EC65" s="59" t="str">
        <f t="shared" si="54"/>
        <v>NA</v>
      </c>
      <c r="ED65" s="59" t="str">
        <f t="shared" si="55"/>
        <v/>
      </c>
      <c r="EE65" s="59" t="str">
        <f t="shared" si="56"/>
        <v/>
      </c>
      <c r="EF65" s="59" t="str">
        <f t="shared" si="57"/>
        <v/>
      </c>
      <c r="EG65" s="59" t="str">
        <f t="shared" si="58"/>
        <v/>
      </c>
      <c r="EH65" s="59" t="str">
        <f t="shared" si="59"/>
        <v/>
      </c>
      <c r="EI65" s="59" t="str">
        <f t="shared" si="60"/>
        <v/>
      </c>
      <c r="EJ65" s="59" t="str">
        <f t="shared" si="61"/>
        <v/>
      </c>
      <c r="EK65" s="59" t="str">
        <f t="shared" si="62"/>
        <v/>
      </c>
      <c r="EL65" s="59" t="str">
        <f t="shared" si="63"/>
        <v/>
      </c>
      <c r="EM65" s="59" t="str">
        <f t="shared" si="64"/>
        <v/>
      </c>
      <c r="EN65" s="59" t="str">
        <f t="shared" si="65"/>
        <v/>
      </c>
      <c r="EO65" s="59" t="str">
        <f t="shared" si="66"/>
        <v/>
      </c>
      <c r="EP65" s="59" t="str">
        <f t="shared" si="67"/>
        <v/>
      </c>
      <c r="EQ65" s="59" t="str">
        <f t="shared" si="68"/>
        <v/>
      </c>
      <c r="ER65" s="59" t="str">
        <f t="shared" si="69"/>
        <v/>
      </c>
      <c r="ES65" s="59" t="str">
        <f t="shared" si="70"/>
        <v/>
      </c>
      <c r="ET65" s="59" t="str">
        <f t="shared" si="71"/>
        <v/>
      </c>
      <c r="EU65" s="59" t="str">
        <f t="shared" si="72"/>
        <v/>
      </c>
      <c r="EV65" s="59" t="str">
        <f t="shared" si="73"/>
        <v/>
      </c>
      <c r="EW65" s="59" t="str">
        <f t="shared" si="74"/>
        <v/>
      </c>
      <c r="EX65" s="56">
        <f t="shared" si="26"/>
        <v>1126000</v>
      </c>
    </row>
    <row r="66" spans="1:154" x14ac:dyDescent="0.25">
      <c r="A66" s="2">
        <f t="shared" si="75"/>
        <v>65</v>
      </c>
      <c r="B66" s="2" t="s">
        <v>6</v>
      </c>
      <c r="C66" s="2" t="str">
        <f t="shared" si="27"/>
        <v>020514</v>
      </c>
      <c r="D66" s="2">
        <v>2</v>
      </c>
      <c r="E66" s="2">
        <v>5</v>
      </c>
      <c r="F66" s="2">
        <v>14</v>
      </c>
      <c r="G66" s="11" t="s">
        <v>13</v>
      </c>
      <c r="H66" s="4"/>
      <c r="I66" s="42" t="s">
        <v>58</v>
      </c>
      <c r="J66" s="9">
        <v>80</v>
      </c>
      <c r="K66" s="9"/>
      <c r="L66" s="10" t="s">
        <v>8</v>
      </c>
      <c r="M66" s="24" t="s">
        <v>178</v>
      </c>
      <c r="N66" s="7">
        <f t="shared" si="76"/>
        <v>1135000</v>
      </c>
      <c r="O66" s="8">
        <v>104</v>
      </c>
      <c r="P66" s="25">
        <v>41258</v>
      </c>
      <c r="Q66" s="8" t="str">
        <f t="shared" si="28"/>
        <v>2DA-DIC</v>
      </c>
      <c r="R66" s="26">
        <v>0</v>
      </c>
      <c r="S66" s="41" t="s">
        <v>34</v>
      </c>
      <c r="T66" s="8" t="s">
        <v>353</v>
      </c>
      <c r="U66" s="8"/>
      <c r="V66" s="7">
        <v>567500</v>
      </c>
      <c r="W66" s="7">
        <f t="shared" si="158"/>
        <v>272400</v>
      </c>
      <c r="X66" s="7">
        <f t="shared" si="29"/>
        <v>295100</v>
      </c>
      <c r="Y66" s="7">
        <v>0</v>
      </c>
      <c r="Z66" s="7">
        <f t="shared" si="30"/>
        <v>272400</v>
      </c>
      <c r="AA66" s="148" t="str">
        <f t="shared" si="31"/>
        <v>50%</v>
      </c>
      <c r="AB66" s="148">
        <f t="shared" si="32"/>
        <v>0.5</v>
      </c>
      <c r="AC66" s="25">
        <v>41067</v>
      </c>
      <c r="AD66" s="25">
        <v>41067</v>
      </c>
      <c r="AE66" s="25">
        <v>41067</v>
      </c>
      <c r="AF66" s="8"/>
      <c r="AG66" s="59" t="str">
        <f t="shared" ca="1" si="34"/>
        <v>NA</v>
      </c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59" t="str">
        <f t="shared" si="90"/>
        <v>NA</v>
      </c>
      <c r="AS66" s="59" t="str">
        <f t="shared" si="91"/>
        <v/>
      </c>
      <c r="AT66" s="59"/>
      <c r="AU66" s="59" t="str">
        <f t="shared" ref="AU66:AU129" si="162">IF(AT66=0,"ND",(IF(AT66&gt;0,IF(AT66&lt;=12000,"HASTA 12 MIL",""),""))&amp;IF(AT66&gt;12000,IF(AT66&lt;=18000,"ENTRE 12 Y 18 MIL",""),""))&amp;IF(AT66&gt;18000,IF(AT66&lt;=25000,"ENTRE 18 Y 25 MIL",""),"")&amp;IF(AT66&gt;25000,IF(AT66&lt;=35000,"ENTRE 25 Y 35 MIL",""),"")&amp;IF(AT66&gt;35000,IF(AT66&lt;=45000,"ENTRE 35 Y 45 MIL",""),"")&amp;IF(AT66&gt;45000,"MAYOR A 45 MILES","")</f>
        <v>ND</v>
      </c>
      <c r="AV66" s="66"/>
      <c r="AW66" s="66"/>
      <c r="AX66" s="66"/>
      <c r="AY66" s="66"/>
      <c r="AZ66" s="8"/>
      <c r="BA66" s="8" t="s">
        <v>37</v>
      </c>
      <c r="BB66" s="8"/>
      <c r="BC66" s="8"/>
      <c r="BD66" s="8"/>
      <c r="BE66" s="8"/>
      <c r="BF66" s="8"/>
      <c r="BG66" s="8"/>
      <c r="BH66" s="8"/>
      <c r="BI66" s="8"/>
      <c r="BJ66" s="8"/>
      <c r="BK66" s="59"/>
      <c r="BL66" s="59"/>
      <c r="BM66" s="59"/>
      <c r="BN66" s="164">
        <v>0.01</v>
      </c>
      <c r="BO66" s="165">
        <f t="shared" si="37"/>
        <v>3783.3333333333335</v>
      </c>
      <c r="BP66" s="165">
        <f t="shared" ref="BP66:BQ66" si="163">BO66</f>
        <v>3783.3333333333335</v>
      </c>
      <c r="BQ66" s="165">
        <f t="shared" si="163"/>
        <v>3783.3333333333335</v>
      </c>
      <c r="BR66" s="59"/>
      <c r="BS66" s="59"/>
      <c r="BT66" s="59"/>
      <c r="BU66" s="59"/>
      <c r="BV66" s="59" t="str">
        <f t="shared" si="83"/>
        <v>ND</v>
      </c>
      <c r="BW66" s="59" t="str">
        <f t="shared" si="84"/>
        <v>ND</v>
      </c>
      <c r="BX66" s="59" t="str">
        <f t="shared" si="85"/>
        <v>ND</v>
      </c>
      <c r="BY66" s="59" t="str">
        <f t="shared" si="86"/>
        <v>ND</v>
      </c>
      <c r="BZ66" s="59" t="str">
        <f t="shared" ref="BZ66:BZ129" si="164">IF(AZ66=0,"NA","SEM "&amp;WEEKNUM(AZ66))</f>
        <v>NA</v>
      </c>
      <c r="CA66" s="59" t="str">
        <f t="shared" ref="CA66:CA129" si="165">IF(AZ66=0,"",IF(MONTH(AZ66)=1,"ENE","")&amp;IF(MONTH(AZ66)=2,"FEB","")&amp;IF(MONTH(AZ66)=3,"MAR","")&amp;IF(MONTH(AZ66)=4,"ABR","")&amp;IF(MONTH(AZ66)=5,"MAY","")&amp;IF(MONTH(AZ66)=6,"JUN","")&amp;IF(MONTH(AZ66)=7,"JUL","")&amp;IF(MONTH(AZ66)=8,"AGO","")&amp;IF(MONTH(AZ66)=9,"SEP","")&amp;IF(MONTH(AZ66)=10,"OCT","")&amp;IF(MONTH(AZ66)=11,"NOV","")&amp;IF(MONTH(AZ66)=12,"DIC",""))</f>
        <v/>
      </c>
      <c r="CB66" s="59" t="str">
        <f t="shared" ref="CB66:CB129" si="166">IF(BF66=0,"NA","SEM "&amp;WEEKNUM(BF66))</f>
        <v>NA</v>
      </c>
      <c r="CC66" s="59" t="str">
        <f t="shared" ref="CC66:CC129" si="167">IF(BF66=0,"",IF(MONTH(BF66)=1,"ENE","")&amp;IF(MONTH(BF66)=2,"FEB","")&amp;IF(MONTH(BF66)=3,"MAR","")&amp;IF(MONTH(BF66)=4,"ABR","")&amp;IF(MONTH(BF66)=5,"MAY","")&amp;IF(MONTH(BF66)=6,"JUN","")&amp;IF(MONTH(BF66)=7,"JUL","")&amp;IF(MONTH(BF66)=8,"AGO","")&amp;IF(MONTH(BF66)=9,"SEP","")&amp;IF(MONTH(BF66)=10,"OCT","")&amp;IF(MONTH(BF66)=11,"NOV","")&amp;IF(MONTH(BF66)=12,"DIC",""))</f>
        <v/>
      </c>
      <c r="CD66" s="59" t="str">
        <f t="shared" ref="CD66:CD129" si="168">IF(BJ66=0,"NA","SEM "&amp;WEEKNUM(BJ66))</f>
        <v>NA</v>
      </c>
      <c r="CE66" s="59" t="str">
        <f t="shared" ref="CE66:CE129" si="169">IF(BJ66=0,"",IF(MONTH(BJ66)=1,"ENE","")&amp;IF(MONTH(BJ66)=2,"FEB","")&amp;IF(MONTH(BJ66)=3,"MAR","")&amp;IF(MONTH(BJ66)=4,"ABR","")&amp;IF(MONTH(BJ66)=5,"MAY","")&amp;IF(MONTH(BJ66)=6,"JUN","")&amp;IF(MONTH(BJ66)=7,"JUL","")&amp;IF(MONTH(BJ66)=8,"AGO","")&amp;IF(MONTH(BJ66)=9,"SEP","")&amp;IF(MONTH(BJ66)=10,"OCT","")&amp;IF(MONTH(BJ66)=11,"NOV","")&amp;IF(MONTH(BJ66)=12,"DIC",""))</f>
        <v/>
      </c>
      <c r="CF66" s="59" t="str">
        <f t="shared" ref="CF66:CF129" si="170">IF(OR(BA66="FIRMADO",BA66="COBRADO"),IF(BF66=0,"",IF(DAY(BF66)&lt;16,"1RA","2DA")&amp;"-"&amp;(IF(MONTH(BF66)=1,"ENE","")&amp;IF(MONTH(BF66)=2,"FEB","")&amp;IF(MONTH(BF66)=3,"MAR","")&amp;IF(MONTH(BF66)=4,"ABR","")&amp;IF(MONTH(BF66)=5,"MAY","")&amp;IF(MONTH(BF66)=6,"JUN","")&amp;IF(MONTH(BF66)=7,"JUL","")&amp;IF(MONTH(BF66)=8,"AGO","")&amp;IF(MONTH(BF66)=9,"SEP","")&amp;IF(MONTH(BF66)=10,"OCT","")&amp;IF(MONTH(BF66)=11,"NOV","")&amp;IF(MONTH(BF66)=12,"DIC",""))),IF(BA66="SIN CLIENTE","NA",IF(BC66=0,"",IF(DAY(BC66)&lt;16,"1RA","2DA")&amp;"-"&amp;(IF(MONTH(BC66)=1,"ENE","")&amp;IF(MONTH(BC66)=2,"FEB","")&amp;IF(MONTH(BC66)=3,"MAR","")&amp;IF(MONTH(BC66)=4,"ABR","")&amp;IF(MONTH(BC66)=5,"MAY","")&amp;IF(MONTH(BC66)=6,"JUN","")&amp;IF(MONTH(BC66)=7,"JUL","")&amp;IF(MONTH(BC66)=8,"AGO","")&amp;IF(MONTH(BC66)=9,"SEP","")&amp;IF(MONTH(BC66)=10,"OCT","")&amp;IF(MONTH(BC66)=11,"NOV","")&amp;IF(MONTH(BC66)=12,"DIC","")))))</f>
        <v>NA</v>
      </c>
      <c r="CG66" s="59" t="str">
        <f t="shared" ref="CG66:CG129" ca="1" si="171">IF(AZ66=0,"NA",IF(TODAY()-AZ66&lt;=3,"HASTA 3 DIAS","")&amp;IF(TODAY()-AZ66&gt;3,IF(TODAY()-AZ66&lt;=7,"1RA SEM",""),"")&amp;IF(TODAY()-AZ66&gt;7,IF(TODAY()-AZ66&lt;=14,"2DA SEM",""),"")&amp;IF(TODAY()-AZ66&gt;14,IF(TODAY()-AZ66&lt;=21,"3RA SEM",""),"")&amp;IF(TODAY()-AZ66&gt;21,IF(TODAY()-AZ66&lt;=28,"4TA SEM",""),"")&amp;IF(TODAY()-AZ66&gt;28,IF(TODAY()-AZ66&lt;=35,"5TA SEM",""),"")&amp;IF(TODAY()-AZ66&gt;35,IF(TODAY()-AZ66&lt;=42,"6TA SEM",""),"")&amp;IF(TODAY()-AZ66&gt;42,IF(TODAY()-AZ66&lt;=49,"7MA SEM",""),"")&amp;IF(TODAY()-AZ66&gt;49,IF(TODAY()-AZ66&lt;=56,"8VA SEM",""),"")&amp;IF(TODAY()-AZ66&gt;56,"MAYOR A 2 MESES",""))</f>
        <v>NA</v>
      </c>
      <c r="CH66" s="59" t="str">
        <f t="shared" ref="CH66:CH129" ca="1" si="172">IF(BF66=0,"NA",IF(TODAY()-BF66&lt;=3,"HASTA 3 DIAS","")&amp;IF(TODAY()-BF66&gt;3,IF(TODAY()-BF66&lt;=7,"1RA SEM",""),"")&amp;IF(TODAY()-BF66&gt;7,IF(TODAY()-BF66&lt;=14,"2DA SEM",""),"")&amp;IF(TODAY()-BF66&gt;14,IF(TODAY()-BF66&lt;=21,"3RA SEM",""),"")&amp;IF(TODAY()-BF66&gt;21,IF(TODAY()-BF66&lt;=28,"4TA SEM",""),"")&amp;IF(TODAY()-BF66&gt;28,IF(TODAY()-BF66&lt;=35,"5TA SEM",""),"")&amp;IF(TODAY()-BF66&gt;35,IF(TODAY()-BF66&lt;=42,"6TA SEM",""),"")&amp;IF(TODAY()-BF66&gt;42,IF(TODAY()-BF66&lt;=49,"7MA SEM",""),"")&amp;IF(TODAY()-BF66&gt;49,IF(TODAY()-BF66&lt;=56,"8VA SEM",""),"")&amp;IF(TODAY()-BF66&gt;56,"MAYOR A 2 MESES",""))</f>
        <v>NA</v>
      </c>
      <c r="CI66" s="59" t="str">
        <f t="shared" ref="CI66:CI129" ca="1" si="173">IF(AC66=0,"ND",IF(TODAY()-AC66&lt;=5,"HASTA 5 DIAS","")&amp;IF(TODAY()-AC66&gt;5,IF(TODAY()-AC66&lt;=10,"DE 6 A 10 DIAS",""),"")&amp;IF(TODAY()-AC66&gt;10,IF(TODAY()-AC66&lt;=15,"DE 11 A 15 DIAS",""),"")&amp;IF(TODAY()-AC66&gt;15,IF(TODAY()-AC66&lt;=20,"DE 16 A 20 DIAS",""),"")&amp;IF(TODAY()-AC66&gt;20,IF(TODAY()-AC66&lt;=25,"DE 21 A 25 DIAS",""),"")&amp;IF(TODAY()-AC66&gt;25,IF(TODAY()-AC66&lt;=29,"DE 26 A 29 DIAS",""),"")&amp;IF(TODAY()-AC66=30,"30 DIAS","")&amp;IF(TODAY()-AC66&gt;30,IF(TODAY()-AC66&lt;=35,"DE 31 A 35 DIAS",""),"")&amp;IF(TODAY()-AC66&gt;35,IF(TODAY()-AC66&lt;=45,"DE 36 A 45 DIAS",""),"")&amp;IF(TODAY()-AC66&gt;45,"MAYOR A 45 DIAS",""))</f>
        <v>MAYOR A 45 DIAS</v>
      </c>
      <c r="CJ66" s="59" t="str">
        <f t="shared" ref="CJ66:CJ129" ca="1" si="174">IF(AD66=0,"ND",IF(TODAY()-AD66&lt;=5,"HASTA 5 DIAS","")&amp;IF(TODAY()-AD66&gt;5,IF(TODAY()-AD66&lt;=10,"DE 6 A 10 DIAS",""),"")&amp;IF(TODAY()-AD66&gt;10,IF(TODAY()-AD66&lt;=15,"DE 11 A 15 DIAS",""),"")&amp;IF(TODAY()-AD66&gt;15,IF(TODAY()-AD66&lt;=20,"DE 16 A 20 DIAS",""),"")&amp;IF(TODAY()-AD66&gt;20,IF(TODAY()-AD66&lt;=25,"DE 21 A 25 DIAS",""),"")&amp;IF(TODAY()-AD66&gt;25,IF(TODAY()-AD66&lt;=29,"DE 26 A 29 DIAS",""),"")&amp;IF(TODAY()-AD66=30,"30 DIAS","")&amp;IF(TODAY()-AD66&gt;30,IF(TODAY()-AD66&lt;=35,"DE 31 A 35 DIAS",""),"")&amp;IF(TODAY()-AD66&gt;35,IF(TODAY()-AD66&lt;=45,"DE 36 A 45 DIAS",""),"")&amp;IF(TODAY()-AD66&gt;45,"MAYOR A 45 DIAS",""))</f>
        <v>MAYOR A 45 DIAS</v>
      </c>
      <c r="CK66" s="59" t="str">
        <f t="shared" ref="CK66:CK129" ca="1" si="175">IF(AE66=0,"ND",IF(TODAY()-AE66&lt;=5,"HASTA 5 DIAS","")&amp;IF(TODAY()-AE66&gt;5,IF(TODAY()-AE66&lt;=10,"DE 6 A 10 DIAS",""),"")&amp;IF(TODAY()-AE66&gt;10,IF(TODAY()-AE66&lt;=15,"DE 11 A 15 DIAS",""),"")&amp;IF(TODAY()-AE66&gt;15,IF(TODAY()-AE66&lt;=20,"DE 16 A 20 DIAS",""),"")&amp;IF(TODAY()-AE66&gt;20,IF(TODAY()-AE66&lt;=25,"DE 21 A 25 DIAS",""),"")&amp;IF(TODAY()-AE66&gt;25,IF(TODAY()-AE66&lt;=29,"DE 26 A 29 DIAS",""),"")&amp;IF(TODAY()-AE66=30,"30 DIAS","")&amp;IF(TODAY()-AE66&gt;30,IF(TODAY()-AE66&lt;=35,"DE 31 A 35 DIAS",""),"")&amp;IF(TODAY()-AE66&gt;35,IF(TODAY()-AE66&lt;=45,"DE 36 A 45 DIAS",""),"")&amp;IF(TODAY()-AE66&gt;45,"MAYOR A 45 DIAS",""))</f>
        <v>MAYOR A 45 DIAS</v>
      </c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>
        <f t="shared" si="43"/>
        <v>0</v>
      </c>
      <c r="DH66" s="8">
        <f t="shared" si="79"/>
        <v>0</v>
      </c>
      <c r="DI66" s="8">
        <f t="shared" si="44"/>
        <v>0</v>
      </c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59" t="str">
        <f t="shared" si="45"/>
        <v>NA</v>
      </c>
      <c r="DU66" s="59" t="str">
        <f t="shared" si="46"/>
        <v>NA</v>
      </c>
      <c r="DV66" s="59" t="str">
        <f t="shared" si="47"/>
        <v>NA</v>
      </c>
      <c r="DW66" s="59" t="str">
        <f t="shared" si="48"/>
        <v>NA</v>
      </c>
      <c r="DX66" s="59" t="str">
        <f t="shared" si="49"/>
        <v>NA</v>
      </c>
      <c r="DY66" s="59" t="str">
        <f t="shared" si="50"/>
        <v>NA</v>
      </c>
      <c r="DZ66" s="59" t="str">
        <f t="shared" si="51"/>
        <v>NA</v>
      </c>
      <c r="EA66" s="59" t="str">
        <f t="shared" si="52"/>
        <v>NA</v>
      </c>
      <c r="EB66" s="59" t="str">
        <f t="shared" si="53"/>
        <v>NA</v>
      </c>
      <c r="EC66" s="59" t="str">
        <f t="shared" si="54"/>
        <v>NA</v>
      </c>
      <c r="ED66" s="59" t="str">
        <f t="shared" si="55"/>
        <v/>
      </c>
      <c r="EE66" s="59" t="str">
        <f t="shared" si="56"/>
        <v/>
      </c>
      <c r="EF66" s="59" t="str">
        <f t="shared" si="57"/>
        <v/>
      </c>
      <c r="EG66" s="59" t="str">
        <f t="shared" si="58"/>
        <v/>
      </c>
      <c r="EH66" s="59" t="str">
        <f t="shared" si="59"/>
        <v/>
      </c>
      <c r="EI66" s="59" t="str">
        <f t="shared" si="60"/>
        <v/>
      </c>
      <c r="EJ66" s="59" t="str">
        <f t="shared" si="61"/>
        <v/>
      </c>
      <c r="EK66" s="59" t="str">
        <f t="shared" si="62"/>
        <v/>
      </c>
      <c r="EL66" s="59" t="str">
        <f t="shared" si="63"/>
        <v/>
      </c>
      <c r="EM66" s="59" t="str">
        <f t="shared" si="64"/>
        <v/>
      </c>
      <c r="EN66" s="59" t="str">
        <f t="shared" si="65"/>
        <v/>
      </c>
      <c r="EO66" s="59" t="str">
        <f t="shared" si="66"/>
        <v/>
      </c>
      <c r="EP66" s="59" t="str">
        <f t="shared" si="67"/>
        <v/>
      </c>
      <c r="EQ66" s="59" t="str">
        <f t="shared" si="68"/>
        <v/>
      </c>
      <c r="ER66" s="59" t="str">
        <f t="shared" si="69"/>
        <v/>
      </c>
      <c r="ES66" s="59" t="str">
        <f t="shared" si="70"/>
        <v/>
      </c>
      <c r="ET66" s="59" t="str">
        <f t="shared" si="71"/>
        <v/>
      </c>
      <c r="EU66" s="59" t="str">
        <f t="shared" si="72"/>
        <v/>
      </c>
      <c r="EV66" s="59" t="str">
        <f t="shared" si="73"/>
        <v/>
      </c>
      <c r="EW66" s="59" t="str">
        <f t="shared" si="74"/>
        <v/>
      </c>
      <c r="EX66" s="56">
        <f t="shared" ref="EX66:EX129" si="176">-(CL66+CM66+CN66+CO66+CP66+CQ66+CR66+CS66+CT66+CU66+CV66-N66)</f>
        <v>1135000</v>
      </c>
    </row>
    <row r="67" spans="1:154" x14ac:dyDescent="0.25">
      <c r="A67" s="2">
        <f t="shared" si="75"/>
        <v>66</v>
      </c>
      <c r="B67" s="2" t="s">
        <v>6</v>
      </c>
      <c r="C67" s="2" t="str">
        <f t="shared" ref="C67:C130" si="177">TEXT(D67,"00")&amp;TEXT(E67,"00")&amp;TEXT(F67,"00")</f>
        <v>020515</v>
      </c>
      <c r="D67" s="2">
        <v>2</v>
      </c>
      <c r="E67" s="2">
        <v>5</v>
      </c>
      <c r="F67" s="2">
        <v>15</v>
      </c>
      <c r="G67" s="11" t="s">
        <v>13</v>
      </c>
      <c r="H67" s="4"/>
      <c r="I67" s="42" t="s">
        <v>58</v>
      </c>
      <c r="J67" s="9">
        <v>80</v>
      </c>
      <c r="K67" s="5"/>
      <c r="L67" s="6" t="s">
        <v>306</v>
      </c>
      <c r="M67" s="24" t="s">
        <v>178</v>
      </c>
      <c r="N67" s="7">
        <f t="shared" si="76"/>
        <v>1126000</v>
      </c>
      <c r="O67" s="8">
        <v>105</v>
      </c>
      <c r="P67" s="25">
        <v>41258</v>
      </c>
      <c r="Q67" s="8" t="str">
        <f t="shared" ref="Q67:Q130" si="178">IF(DAY(P67)&lt;15,"1RA","2DA")&amp;"-"&amp;(IF(MONTH(P67)=1,"ENE","")&amp;IF(MONTH(P67)=2,"FEB","")&amp;IF(MONTH(P67)=3,"MAR","")&amp;IF(MONTH(P67)=4,"ABR","")&amp;IF(MONTH(P67)=5,"MAY","")&amp;IF(MONTH(P67)=6,"JUN","")&amp;IF(MONTH(P67)=7,"JUL","")&amp;IF(MONTH(P67)=8,"AGO","")&amp;IF(MONTH(P67)=9,"SEP","")&amp;IF(MONTH(P67)=10,"OCT","")&amp;IF(MONTH(P67)=11,"NOV","")&amp;IF(MONTH(P67)=12,"DIC",""))</f>
        <v>2DA-DIC</v>
      </c>
      <c r="R67" s="26">
        <v>0</v>
      </c>
      <c r="S67" s="41" t="s">
        <v>34</v>
      </c>
      <c r="T67" s="8" t="s">
        <v>353</v>
      </c>
      <c r="U67" s="8"/>
      <c r="V67" s="7">
        <v>563000</v>
      </c>
      <c r="W67" s="7">
        <f t="shared" si="158"/>
        <v>270240</v>
      </c>
      <c r="X67" s="7">
        <f t="shared" ref="X67:X130" si="179">IF(S67="LIBERADO",0,V67-W67)</f>
        <v>292760</v>
      </c>
      <c r="Y67" s="7">
        <v>0</v>
      </c>
      <c r="Z67" s="7">
        <f t="shared" ref="Z67:Z130" si="180">W67-Y67</f>
        <v>270240</v>
      </c>
      <c r="AA67" s="148" t="str">
        <f t="shared" ref="AA67:AA130" si="181">IF(W67/V67&lt;=5%,"5%","")&amp;IF(W67/V67&gt;5%,IF(W67/V67&lt;=10%,"10%",""),"")&amp;IF(W67/V67&gt;10%,IF(W67/V67&lt;=15%,"15%",""),"")&amp;IF(W67/V67&gt;15%,IF(W67/V67&lt;=20%,"20%",""),"")&amp;IF(W67/V67&gt;20%,IF(W67/V67&lt;=25%,"25%",""),"")&amp;IF(W67/V67&gt;25%,IF(W67/V67&lt;=30%,"30%",""),"")&amp;IF(W67/V67&gt;30%,IF(W67/V67&lt;=35%,"35%",""),"")&amp;IF(W67/V67&gt;35%,IF(W67/V67&lt;=40%,"40%",""),"")&amp;IF(W67/V67&gt;40%,IF(W67/V67&lt;=45%,"45%",""),"")&amp;IF(W67/V67&gt;45%,IF(W67/V67&lt;=50%,"50%",""),"")&amp;IF(W67/V67&gt;50%,IF(W67/V67&lt;=55%,"55%",""),"")&amp;IF(W67/V67&gt;55%,IF(W67/V67&lt;=60%,"60%",""),"")&amp;IF(W67/V67&gt;60%,IF(W67/V67&lt;=65%,"65%",""),"")&amp;IF(W67/V67&gt;65%,IF(W67/V67&lt;=70%,"70%",""),"")&amp;IF(W67/V67&gt;70%,IF(W67/V67&lt;=75%,"75%",""),"")&amp;IF(W67/V67&gt;75%,IF(W67/V67&lt;=80%,"80%",""),"")&amp;IF(W67/V67&gt;80%,IF(W67/V67&lt;=85%,"85%",""),"")&amp;IF(W67/V67&gt;85%,IF(W67/V67&lt;=90%,"90%",""),"")&amp;IF(W67/V67&gt;90%,IF(W67/V67&lt;=95%,"95%",""),"")&amp;IF(W67/V67&gt;95%,IF(W67/V67&lt;=99%,"99%",""),"")&amp;IF(W67/V67&gt;=100%,"100%","")</f>
        <v>50%</v>
      </c>
      <c r="AB67" s="148">
        <f t="shared" ref="AB67:AB130" si="182">1-AA67</f>
        <v>0.5</v>
      </c>
      <c r="AC67" s="25">
        <v>41070</v>
      </c>
      <c r="AD67" s="25">
        <v>41070</v>
      </c>
      <c r="AE67" s="25">
        <v>41070</v>
      </c>
      <c r="AF67" s="8"/>
      <c r="AG67" s="59" t="str">
        <f t="shared" ref="AG67:AG130" ca="1" si="183">IF(AF67="","NA",IF(TODAY()-AF67&lt;=3,"HASTA 3 DIAS","")&amp;IF(TODAY()-AF67&gt;3,IF(TODAY()-AF67&lt;=7,"1RA SEM",""),"")&amp;IF(TODAY()-AF67&gt;7,IF(TODAY()-AF67&lt;=14,"2DA SEM",""),"")&amp;IF(TODAY()-AF67&gt;14,IF(TODAY()-AF67&lt;=21,"3RA SEM",""),"")&amp;IF(TODAY()-AF67&gt;21,IF(TODAY()-AF67&lt;=28,"4TA SEM",""),"")&amp;IF(TODAY()-AF67&gt;28,IF(TODAY()-AF67&lt;=35,"5TA SEM",""),"")&amp;IF(TODAY()-AF67&gt;35,IF(TODAY()-AF67&lt;=42,"6TA SEM",""),"")&amp;IF(TODAY()-AF67&gt;42,IF(TODAY()-AF67&lt;=49,"7MA SEM",""),"")&amp;IF(TODAY()-AF67&gt;49,IF(TODAY()-AF67&lt;=56,"8VA SEM",""),"")&amp;IF(TODAY()-AF67&gt;56,"MAYOR A 2 MESES",""))</f>
        <v>NA</v>
      </c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59" t="str">
        <f t="shared" si="90"/>
        <v>NA</v>
      </c>
      <c r="AS67" s="59" t="str">
        <f t="shared" si="91"/>
        <v/>
      </c>
      <c r="AT67" s="59"/>
      <c r="AU67" s="59" t="str">
        <f t="shared" si="162"/>
        <v>ND</v>
      </c>
      <c r="AV67" s="66"/>
      <c r="AW67" s="66"/>
      <c r="AX67" s="66"/>
      <c r="AY67" s="66"/>
      <c r="AZ67" s="8"/>
      <c r="BA67" s="8" t="s">
        <v>37</v>
      </c>
      <c r="BB67" s="8"/>
      <c r="BC67" s="8"/>
      <c r="BD67" s="8"/>
      <c r="BE67" s="8"/>
      <c r="BF67" s="8"/>
      <c r="BG67" s="8"/>
      <c r="BH67" s="8"/>
      <c r="BI67" s="8"/>
      <c r="BJ67" s="8"/>
      <c r="BK67" s="59"/>
      <c r="BL67" s="59"/>
      <c r="BM67" s="59"/>
      <c r="BN67" s="164">
        <v>0.01</v>
      </c>
      <c r="BO67" s="165">
        <f t="shared" ref="BO67:BO130" si="184">(BN67*SUM(CL67:CV67,EX67))/3</f>
        <v>3753.3333333333335</v>
      </c>
      <c r="BP67" s="165">
        <f t="shared" ref="BP67:BQ67" si="185">BO67</f>
        <v>3753.3333333333335</v>
      </c>
      <c r="BQ67" s="165">
        <f t="shared" si="185"/>
        <v>3753.3333333333335</v>
      </c>
      <c r="BR67" s="59"/>
      <c r="BS67" s="59"/>
      <c r="BT67" s="59"/>
      <c r="BU67" s="59"/>
      <c r="BV67" s="59" t="str">
        <f t="shared" si="83"/>
        <v>ND</v>
      </c>
      <c r="BW67" s="59" t="str">
        <f t="shared" si="84"/>
        <v>ND</v>
      </c>
      <c r="BX67" s="59" t="str">
        <f t="shared" si="85"/>
        <v>ND</v>
      </c>
      <c r="BY67" s="59" t="str">
        <f t="shared" si="86"/>
        <v>ND</v>
      </c>
      <c r="BZ67" s="59" t="str">
        <f t="shared" si="164"/>
        <v>NA</v>
      </c>
      <c r="CA67" s="59" t="str">
        <f t="shared" si="165"/>
        <v/>
      </c>
      <c r="CB67" s="59" t="str">
        <f t="shared" si="166"/>
        <v>NA</v>
      </c>
      <c r="CC67" s="59" t="str">
        <f t="shared" si="167"/>
        <v/>
      </c>
      <c r="CD67" s="59" t="str">
        <f t="shared" si="168"/>
        <v>NA</v>
      </c>
      <c r="CE67" s="59" t="str">
        <f t="shared" si="169"/>
        <v/>
      </c>
      <c r="CF67" s="59" t="str">
        <f t="shared" si="170"/>
        <v>NA</v>
      </c>
      <c r="CG67" s="59" t="str">
        <f t="shared" ca="1" si="171"/>
        <v>NA</v>
      </c>
      <c r="CH67" s="59" t="str">
        <f t="shared" ca="1" si="172"/>
        <v>NA</v>
      </c>
      <c r="CI67" s="59" t="str">
        <f t="shared" ca="1" si="173"/>
        <v>MAYOR A 45 DIAS</v>
      </c>
      <c r="CJ67" s="59" t="str">
        <f t="shared" ca="1" si="174"/>
        <v>MAYOR A 45 DIAS</v>
      </c>
      <c r="CK67" s="59" t="str">
        <f t="shared" ca="1" si="175"/>
        <v>MAYOR A 45 DIAS</v>
      </c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>
        <f t="shared" ref="DG67:DG130" si="186">IF(CW67="VIGENTE",CM67,0)+IF(CX67="VIGENTE",CN67,0)+IF(CY67="VIGENTE",CO67,0)+IF(CZ67="VIGENTE",CP67,0)+IF(DA67="VIGENTE",CQ67,0)+IF(DB67="VIGENTE",CR67,0)+IF(DC67="VIGENTE",CS67,0)+IF(DD67="VIGENTE",CT67,0)+IF(DE67="VIGENTE",CU67,0)+IF(DF67="VIGENTE",CV67,0)</f>
        <v>0</v>
      </c>
      <c r="DH67" s="8">
        <f t="shared" ref="DH67:DH130" si="187">IF(CW67="PAGADO",CM67,0)+IF(CX67="PAGADO",CN67,0)+IF(CY67="PAGADO",CO67,0)+IF(CZ67="PAGADO",CP67,0)+IF(DA67="PAGADO",CQ67,0)+IF(DB67="PAGADO",CR67,0)+IF(DC67="PAGADO",CS67,0)+IF(DD67="PAGADO",CT67,0)+IF(DE67="PAGADO",CU67,0)+IF(DF67="PAGADO",CV67,0)</f>
        <v>0</v>
      </c>
      <c r="DI67" s="8">
        <f t="shared" ref="DI67:DI130" si="188">IF(CW67="VENCIDO",CM67,0)+IF(CX67="VENCIDO",CN67,0)+IF(CY67="VENCIDO",CO67,0)+IF(CZ67="VENCIDO",CP67,0)+IF(DA67="VENCIDO",CQ67,0)+IF(DB67="VENCIDO",CR67,0)+IF(DC67="VENCIDO",CS67,0)+IF(DD67="VENCIDO",CT67,0)+IF(DE67="VENCIDO",CU67,0)+IF(DF67="VENCIDO",CV67,0)</f>
        <v>0</v>
      </c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59" t="str">
        <f t="shared" ref="DT67:DT130" si="189">IF(DJ67=0,"NA","SEM "&amp;WEEKNUM(DJ67))</f>
        <v>NA</v>
      </c>
      <c r="DU67" s="59" t="str">
        <f t="shared" ref="DU67:DU130" si="190">IF(DK67=0,"NA","SEM "&amp;WEEKNUM(DK67))</f>
        <v>NA</v>
      </c>
      <c r="DV67" s="59" t="str">
        <f t="shared" ref="DV67:DV130" si="191">IF(DL67=0,"NA","SEM "&amp;WEEKNUM(DL67))</f>
        <v>NA</v>
      </c>
      <c r="DW67" s="59" t="str">
        <f t="shared" ref="DW67:DW130" si="192">IF(DM67=0,"NA","SEM "&amp;WEEKNUM(DM67))</f>
        <v>NA</v>
      </c>
      <c r="DX67" s="59" t="str">
        <f t="shared" ref="DX67:DX130" si="193">IF(DN67=0,"NA","SEM "&amp;WEEKNUM(DN67))</f>
        <v>NA</v>
      </c>
      <c r="DY67" s="59" t="str">
        <f t="shared" ref="DY67:DY130" si="194">IF(DO67=0,"NA","SEM "&amp;WEEKNUM(DO67))</f>
        <v>NA</v>
      </c>
      <c r="DZ67" s="59" t="str">
        <f t="shared" ref="DZ67:DZ130" si="195">IF(DP67=0,"NA","SEM "&amp;WEEKNUM(DP67))</f>
        <v>NA</v>
      </c>
      <c r="EA67" s="59" t="str">
        <f t="shared" ref="EA67:EA130" si="196">IF(DQ67=0,"NA","SEM "&amp;WEEKNUM(DQ67))</f>
        <v>NA</v>
      </c>
      <c r="EB67" s="59" t="str">
        <f t="shared" ref="EB67:EB130" si="197">IF(DR67=0,"NA","SEM "&amp;WEEKNUM(DR67))</f>
        <v>NA</v>
      </c>
      <c r="EC67" s="59" t="str">
        <f t="shared" ref="EC67:EC130" si="198">IF(DS67=0,"NA","SEM "&amp;WEEKNUM(DS67))</f>
        <v>NA</v>
      </c>
      <c r="ED67" s="59" t="str">
        <f t="shared" ref="ED67:ED130" si="199">IF(DJ67=0,"",IF(MONTH(DJ67)=1,"ENE","")&amp;IF(MONTH(DJ67)=2,"FEB","")&amp;IF(MONTH(DJ67)=3,"MAR","")&amp;IF(MONTH(DJ67)=4,"ABR","")&amp;IF(MONTH(DJ67)=5,"MAY","")&amp;IF(MONTH(DJ67)=6,"JUN","")&amp;IF(MONTH(DJ67)=7,"JUL","")&amp;IF(MONTH(DJ67)=8,"AGO","")&amp;IF(MONTH(DJ67)=9,"SEP","")&amp;IF(MONTH(DJ67)=10,"OCT","")&amp;IF(MONTH(DJ67)=11,"NOV","")&amp;IF(MONTH(DJ67)=12,"DIC",""))</f>
        <v/>
      </c>
      <c r="EE67" s="59" t="str">
        <f t="shared" ref="EE67:EE130" si="200">IF(DK67=0,"",IF(MONTH(DK67)=1,"ENE","")&amp;IF(MONTH(DK67)=2,"FEB","")&amp;IF(MONTH(DK67)=3,"MAR","")&amp;IF(MONTH(DK67)=4,"ABR","")&amp;IF(MONTH(DK67)=5,"MAY","")&amp;IF(MONTH(DK67)=6,"JUN","")&amp;IF(MONTH(DK67)=7,"JUL","")&amp;IF(MONTH(DK67)=8,"AGO","")&amp;IF(MONTH(DK67)=9,"SEP","")&amp;IF(MONTH(DK67)=10,"OCT","")&amp;IF(MONTH(DK67)=11,"NOV","")&amp;IF(MONTH(DK67)=12,"DIC",""))</f>
        <v/>
      </c>
      <c r="EF67" s="59" t="str">
        <f t="shared" ref="EF67:EF130" si="201">IF(DL67=0,"",IF(MONTH(DL67)=1,"ENE","")&amp;IF(MONTH(DL67)=2,"FEB","")&amp;IF(MONTH(DL67)=3,"MAR","")&amp;IF(MONTH(DL67)=4,"ABR","")&amp;IF(MONTH(DL67)=5,"MAY","")&amp;IF(MONTH(DL67)=6,"JUN","")&amp;IF(MONTH(DL67)=7,"JUL","")&amp;IF(MONTH(DL67)=8,"AGO","")&amp;IF(MONTH(DL67)=9,"SEP","")&amp;IF(MONTH(DL67)=10,"OCT","")&amp;IF(MONTH(DL67)=11,"NOV","")&amp;IF(MONTH(DL67)=12,"DIC",""))</f>
        <v/>
      </c>
      <c r="EG67" s="59" t="str">
        <f t="shared" ref="EG67:EG130" si="202">IF(DM67=0,"",IF(MONTH(DM67)=1,"ENE","")&amp;IF(MONTH(DM67)=2,"FEB","")&amp;IF(MONTH(DM67)=3,"MAR","")&amp;IF(MONTH(DM67)=4,"ABR","")&amp;IF(MONTH(DM67)=5,"MAY","")&amp;IF(MONTH(DM67)=6,"JUN","")&amp;IF(MONTH(DM67)=7,"JUL","")&amp;IF(MONTH(DM67)=8,"AGO","")&amp;IF(MONTH(DM67)=9,"SEP","")&amp;IF(MONTH(DM67)=10,"OCT","")&amp;IF(MONTH(DM67)=11,"NOV","")&amp;IF(MONTH(DM67)=12,"DIC",""))</f>
        <v/>
      </c>
      <c r="EH67" s="59" t="str">
        <f t="shared" ref="EH67:EH130" si="203">IF(DN67=0,"",IF(MONTH(DN67)=1,"ENE","")&amp;IF(MONTH(DN67)=2,"FEB","")&amp;IF(MONTH(DN67)=3,"MAR","")&amp;IF(MONTH(DN67)=4,"ABR","")&amp;IF(MONTH(DN67)=5,"MAY","")&amp;IF(MONTH(DN67)=6,"JUN","")&amp;IF(MONTH(DN67)=7,"JUL","")&amp;IF(MONTH(DN67)=8,"AGO","")&amp;IF(MONTH(DN67)=9,"SEP","")&amp;IF(MONTH(DN67)=10,"OCT","")&amp;IF(MONTH(DN67)=11,"NOV","")&amp;IF(MONTH(DN67)=12,"DIC",""))</f>
        <v/>
      </c>
      <c r="EI67" s="59" t="str">
        <f t="shared" ref="EI67:EI130" si="204">IF(DO67=0,"",IF(MONTH(DO67)=1,"ENE","")&amp;IF(MONTH(DO67)=2,"FEB","")&amp;IF(MONTH(DO67)=3,"MAR","")&amp;IF(MONTH(DO67)=4,"ABR","")&amp;IF(MONTH(DO67)=5,"MAY","")&amp;IF(MONTH(DO67)=6,"JUN","")&amp;IF(MONTH(DO67)=7,"JUL","")&amp;IF(MONTH(DO67)=8,"AGO","")&amp;IF(MONTH(DO67)=9,"SEP","")&amp;IF(MONTH(DO67)=10,"OCT","")&amp;IF(MONTH(DO67)=11,"NOV","")&amp;IF(MONTH(DO67)=12,"DIC",""))</f>
        <v/>
      </c>
      <c r="EJ67" s="59" t="str">
        <f t="shared" ref="EJ67:EJ130" si="205">IF(DP67=0,"",IF(MONTH(DP67)=1,"ENE","")&amp;IF(MONTH(DP67)=2,"FEB","")&amp;IF(MONTH(DP67)=3,"MAR","")&amp;IF(MONTH(DP67)=4,"ABR","")&amp;IF(MONTH(DP67)=5,"MAY","")&amp;IF(MONTH(DP67)=6,"JUN","")&amp;IF(MONTH(DP67)=7,"JUL","")&amp;IF(MONTH(DP67)=8,"AGO","")&amp;IF(MONTH(DP67)=9,"SEP","")&amp;IF(MONTH(DP67)=10,"OCT","")&amp;IF(MONTH(DP67)=11,"NOV","")&amp;IF(MONTH(DP67)=12,"DIC",""))</f>
        <v/>
      </c>
      <c r="EK67" s="59" t="str">
        <f t="shared" ref="EK67:EK130" si="206">IF(DQ67=0,"",IF(MONTH(DQ67)=1,"ENE","")&amp;IF(MONTH(DQ67)=2,"FEB","")&amp;IF(MONTH(DQ67)=3,"MAR","")&amp;IF(MONTH(DQ67)=4,"ABR","")&amp;IF(MONTH(DQ67)=5,"MAY","")&amp;IF(MONTH(DQ67)=6,"JUN","")&amp;IF(MONTH(DQ67)=7,"JUL","")&amp;IF(MONTH(DQ67)=8,"AGO","")&amp;IF(MONTH(DQ67)=9,"SEP","")&amp;IF(MONTH(DQ67)=10,"OCT","")&amp;IF(MONTH(DQ67)=11,"NOV","")&amp;IF(MONTH(DQ67)=12,"DIC",""))</f>
        <v/>
      </c>
      <c r="EL67" s="59" t="str">
        <f t="shared" ref="EL67:EL130" si="207">IF(DR67=0,"",IF(MONTH(DR67)=1,"ENE","")&amp;IF(MONTH(DR67)=2,"FEB","")&amp;IF(MONTH(DR67)=3,"MAR","")&amp;IF(MONTH(DR67)=4,"ABR","")&amp;IF(MONTH(DR67)=5,"MAY","")&amp;IF(MONTH(DR67)=6,"JUN","")&amp;IF(MONTH(DR67)=7,"JUL","")&amp;IF(MONTH(DR67)=8,"AGO","")&amp;IF(MONTH(DR67)=9,"SEP","")&amp;IF(MONTH(DR67)=10,"OCT","")&amp;IF(MONTH(DR67)=11,"NOV","")&amp;IF(MONTH(DR67)=12,"DIC",""))</f>
        <v/>
      </c>
      <c r="EM67" s="59" t="str">
        <f t="shared" ref="EM67:EM130" si="208">IF(DS67=0,"",IF(MONTH(DS67)=1,"ENE","")&amp;IF(MONTH(DS67)=2,"FEB","")&amp;IF(MONTH(DS67)=3,"MAR","")&amp;IF(MONTH(DS67)=4,"ABR","")&amp;IF(MONTH(DS67)=5,"MAY","")&amp;IF(MONTH(DS67)=6,"JUN","")&amp;IF(MONTH(DS67)=7,"JUL","")&amp;IF(MONTH(DS67)=8,"AGO","")&amp;IF(MONTH(DS67)=9,"SEP","")&amp;IF(MONTH(DS67)=10,"OCT","")&amp;IF(MONTH(DS67)=11,"NOV","")&amp;IF(MONTH(DS67)=12,"DIC",""))</f>
        <v/>
      </c>
      <c r="EN67" s="59" t="str">
        <f t="shared" ref="EN67:EN130" si="209">IF(DJ67=0,"",YEAR(DJ67))</f>
        <v/>
      </c>
      <c r="EO67" s="59" t="str">
        <f t="shared" ref="EO67:EO130" si="210">IF(DK67=0,"",YEAR(DK67))</f>
        <v/>
      </c>
      <c r="EP67" s="59" t="str">
        <f t="shared" ref="EP67:EP130" si="211">IF(DL67=0,"",YEAR(DL67))</f>
        <v/>
      </c>
      <c r="EQ67" s="59" t="str">
        <f t="shared" ref="EQ67:EQ130" si="212">IF(DM67=0,"",YEAR(DM67))</f>
        <v/>
      </c>
      <c r="ER67" s="59" t="str">
        <f t="shared" ref="ER67:ER130" si="213">IF(DN67=0,"",YEAR(DN67))</f>
        <v/>
      </c>
      <c r="ES67" s="59" t="str">
        <f t="shared" ref="ES67:ES130" si="214">IF(DO67=0,"",YEAR(DO67))</f>
        <v/>
      </c>
      <c r="ET67" s="59" t="str">
        <f t="shared" ref="ET67:ET130" si="215">IF(DP67=0,"",YEAR(DP67))</f>
        <v/>
      </c>
      <c r="EU67" s="59" t="str">
        <f t="shared" ref="EU67:EU130" si="216">IF(DQ67=0,"",YEAR(DQ67))</f>
        <v/>
      </c>
      <c r="EV67" s="59" t="str">
        <f t="shared" ref="EV67:EV130" si="217">IF(DR67=0,"",YEAR(DR67))</f>
        <v/>
      </c>
      <c r="EW67" s="59" t="str">
        <f t="shared" ref="EW67:EW130" si="218">IF(DS67=0,"",YEAR(DS67))</f>
        <v/>
      </c>
      <c r="EX67" s="56">
        <f t="shared" si="176"/>
        <v>1126000</v>
      </c>
    </row>
    <row r="68" spans="1:154" x14ac:dyDescent="0.25">
      <c r="A68" s="2">
        <f t="shared" ref="A68:A131" si="219">A67+1</f>
        <v>67</v>
      </c>
      <c r="B68" s="2" t="s">
        <v>6</v>
      </c>
      <c r="C68" s="2" t="str">
        <f t="shared" si="177"/>
        <v>020516</v>
      </c>
      <c r="D68" s="2">
        <v>2</v>
      </c>
      <c r="E68" s="2">
        <v>5</v>
      </c>
      <c r="F68" s="2">
        <v>16</v>
      </c>
      <c r="G68" s="11" t="s">
        <v>13</v>
      </c>
      <c r="H68" s="4"/>
      <c r="I68" s="42" t="s">
        <v>58</v>
      </c>
      <c r="J68" s="9">
        <v>80</v>
      </c>
      <c r="K68" s="5"/>
      <c r="L68" s="6" t="s">
        <v>306</v>
      </c>
      <c r="M68" s="24" t="s">
        <v>178</v>
      </c>
      <c r="N68" s="7">
        <f t="shared" ref="N68:N131" si="220">IF(L68="AKUA",1126000+((J68-80)*3800),1135000+((J68-80)*3800))</f>
        <v>1126000</v>
      </c>
      <c r="O68" s="8">
        <v>106</v>
      </c>
      <c r="P68" s="25">
        <v>41258</v>
      </c>
      <c r="Q68" s="8" t="str">
        <f t="shared" si="178"/>
        <v>2DA-DIC</v>
      </c>
      <c r="R68" s="26">
        <v>0</v>
      </c>
      <c r="S68" s="41" t="s">
        <v>34</v>
      </c>
      <c r="T68" s="8" t="s">
        <v>353</v>
      </c>
      <c r="U68" s="8"/>
      <c r="V68" s="7">
        <v>563000</v>
      </c>
      <c r="W68" s="7">
        <f t="shared" si="158"/>
        <v>270240</v>
      </c>
      <c r="X68" s="7">
        <f t="shared" si="179"/>
        <v>292760</v>
      </c>
      <c r="Y68" s="7">
        <v>0</v>
      </c>
      <c r="Z68" s="7">
        <f t="shared" si="180"/>
        <v>270240</v>
      </c>
      <c r="AA68" s="148" t="str">
        <f t="shared" si="181"/>
        <v>50%</v>
      </c>
      <c r="AB68" s="148">
        <f t="shared" si="182"/>
        <v>0.5</v>
      </c>
      <c r="AC68" s="25">
        <v>41069</v>
      </c>
      <c r="AD68" s="25">
        <v>41069</v>
      </c>
      <c r="AE68" s="25">
        <v>41069</v>
      </c>
      <c r="AF68" s="8"/>
      <c r="AG68" s="59" t="str">
        <f t="shared" ca="1" si="183"/>
        <v>NA</v>
      </c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59" t="str">
        <f t="shared" si="90"/>
        <v>NA</v>
      </c>
      <c r="AS68" s="59" t="str">
        <f t="shared" si="91"/>
        <v/>
      </c>
      <c r="AT68" s="59"/>
      <c r="AU68" s="59" t="str">
        <f t="shared" si="162"/>
        <v>ND</v>
      </c>
      <c r="AV68" s="66"/>
      <c r="AW68" s="66"/>
      <c r="AX68" s="66"/>
      <c r="AY68" s="66"/>
      <c r="AZ68" s="8"/>
      <c r="BA68" s="8" t="s">
        <v>37</v>
      </c>
      <c r="BB68" s="8"/>
      <c r="BC68" s="8"/>
      <c r="BD68" s="8"/>
      <c r="BE68" s="8"/>
      <c r="BF68" s="8"/>
      <c r="BG68" s="8"/>
      <c r="BH68" s="8"/>
      <c r="BI68" s="8"/>
      <c r="BJ68" s="8"/>
      <c r="BK68" s="59"/>
      <c r="BL68" s="59"/>
      <c r="BM68" s="59"/>
      <c r="BN68" s="164">
        <v>0.01</v>
      </c>
      <c r="BO68" s="165">
        <f t="shared" si="184"/>
        <v>3753.3333333333335</v>
      </c>
      <c r="BP68" s="165">
        <f t="shared" ref="BP68:BQ68" si="221">BO68</f>
        <v>3753.3333333333335</v>
      </c>
      <c r="BQ68" s="165">
        <f t="shared" si="221"/>
        <v>3753.3333333333335</v>
      </c>
      <c r="BR68" s="59"/>
      <c r="BS68" s="59"/>
      <c r="BT68" s="59"/>
      <c r="BU68" s="59"/>
      <c r="BV68" s="59" t="str">
        <f t="shared" si="83"/>
        <v>ND</v>
      </c>
      <c r="BW68" s="59" t="str">
        <f t="shared" si="84"/>
        <v>ND</v>
      </c>
      <c r="BX68" s="59" t="str">
        <f t="shared" si="85"/>
        <v>ND</v>
      </c>
      <c r="BY68" s="59" t="str">
        <f t="shared" si="86"/>
        <v>ND</v>
      </c>
      <c r="BZ68" s="59" t="str">
        <f t="shared" si="164"/>
        <v>NA</v>
      </c>
      <c r="CA68" s="59" t="str">
        <f t="shared" si="165"/>
        <v/>
      </c>
      <c r="CB68" s="59" t="str">
        <f t="shared" si="166"/>
        <v>NA</v>
      </c>
      <c r="CC68" s="59" t="str">
        <f t="shared" si="167"/>
        <v/>
      </c>
      <c r="CD68" s="59" t="str">
        <f t="shared" si="168"/>
        <v>NA</v>
      </c>
      <c r="CE68" s="59" t="str">
        <f t="shared" si="169"/>
        <v/>
      </c>
      <c r="CF68" s="59" t="str">
        <f t="shared" si="170"/>
        <v>NA</v>
      </c>
      <c r="CG68" s="59" t="str">
        <f t="shared" ca="1" si="171"/>
        <v>NA</v>
      </c>
      <c r="CH68" s="59" t="str">
        <f t="shared" ca="1" si="172"/>
        <v>NA</v>
      </c>
      <c r="CI68" s="59" t="str">
        <f t="shared" ca="1" si="173"/>
        <v>MAYOR A 45 DIAS</v>
      </c>
      <c r="CJ68" s="59" t="str">
        <f t="shared" ca="1" si="174"/>
        <v>MAYOR A 45 DIAS</v>
      </c>
      <c r="CK68" s="59" t="str">
        <f t="shared" ca="1" si="175"/>
        <v>MAYOR A 45 DIAS</v>
      </c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>
        <f t="shared" si="186"/>
        <v>0</v>
      </c>
      <c r="DH68" s="8">
        <f t="shared" si="187"/>
        <v>0</v>
      </c>
      <c r="DI68" s="8">
        <f t="shared" si="188"/>
        <v>0</v>
      </c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59" t="str">
        <f t="shared" si="189"/>
        <v>NA</v>
      </c>
      <c r="DU68" s="59" t="str">
        <f t="shared" si="190"/>
        <v>NA</v>
      </c>
      <c r="DV68" s="59" t="str">
        <f t="shared" si="191"/>
        <v>NA</v>
      </c>
      <c r="DW68" s="59" t="str">
        <f t="shared" si="192"/>
        <v>NA</v>
      </c>
      <c r="DX68" s="59" t="str">
        <f t="shared" si="193"/>
        <v>NA</v>
      </c>
      <c r="DY68" s="59" t="str">
        <f t="shared" si="194"/>
        <v>NA</v>
      </c>
      <c r="DZ68" s="59" t="str">
        <f t="shared" si="195"/>
        <v>NA</v>
      </c>
      <c r="EA68" s="59" t="str">
        <f t="shared" si="196"/>
        <v>NA</v>
      </c>
      <c r="EB68" s="59" t="str">
        <f t="shared" si="197"/>
        <v>NA</v>
      </c>
      <c r="EC68" s="59" t="str">
        <f t="shared" si="198"/>
        <v>NA</v>
      </c>
      <c r="ED68" s="59" t="str">
        <f t="shared" si="199"/>
        <v/>
      </c>
      <c r="EE68" s="59" t="str">
        <f t="shared" si="200"/>
        <v/>
      </c>
      <c r="EF68" s="59" t="str">
        <f t="shared" si="201"/>
        <v/>
      </c>
      <c r="EG68" s="59" t="str">
        <f t="shared" si="202"/>
        <v/>
      </c>
      <c r="EH68" s="59" t="str">
        <f t="shared" si="203"/>
        <v/>
      </c>
      <c r="EI68" s="59" t="str">
        <f t="shared" si="204"/>
        <v/>
      </c>
      <c r="EJ68" s="59" t="str">
        <f t="shared" si="205"/>
        <v/>
      </c>
      <c r="EK68" s="59" t="str">
        <f t="shared" si="206"/>
        <v/>
      </c>
      <c r="EL68" s="59" t="str">
        <f t="shared" si="207"/>
        <v/>
      </c>
      <c r="EM68" s="59" t="str">
        <f t="shared" si="208"/>
        <v/>
      </c>
      <c r="EN68" s="59" t="str">
        <f t="shared" si="209"/>
        <v/>
      </c>
      <c r="EO68" s="59" t="str">
        <f t="shared" si="210"/>
        <v/>
      </c>
      <c r="EP68" s="59" t="str">
        <f t="shared" si="211"/>
        <v/>
      </c>
      <c r="EQ68" s="59" t="str">
        <f t="shared" si="212"/>
        <v/>
      </c>
      <c r="ER68" s="59" t="str">
        <f t="shared" si="213"/>
        <v/>
      </c>
      <c r="ES68" s="59" t="str">
        <f t="shared" si="214"/>
        <v/>
      </c>
      <c r="ET68" s="59" t="str">
        <f t="shared" si="215"/>
        <v/>
      </c>
      <c r="EU68" s="59" t="str">
        <f t="shared" si="216"/>
        <v/>
      </c>
      <c r="EV68" s="59" t="str">
        <f t="shared" si="217"/>
        <v/>
      </c>
      <c r="EW68" s="59" t="str">
        <f t="shared" si="218"/>
        <v/>
      </c>
      <c r="EX68" s="56">
        <f t="shared" si="176"/>
        <v>1126000</v>
      </c>
    </row>
    <row r="69" spans="1:154" x14ac:dyDescent="0.25">
      <c r="A69" s="2">
        <f t="shared" si="219"/>
        <v>68</v>
      </c>
      <c r="B69" s="2" t="s">
        <v>6</v>
      </c>
      <c r="C69" s="2" t="str">
        <f t="shared" si="177"/>
        <v>020517</v>
      </c>
      <c r="D69" s="2">
        <v>2</v>
      </c>
      <c r="E69" s="2">
        <v>5</v>
      </c>
      <c r="F69" s="2">
        <v>17</v>
      </c>
      <c r="G69" s="11" t="s">
        <v>13</v>
      </c>
      <c r="H69" s="4"/>
      <c r="I69" s="42" t="s">
        <v>58</v>
      </c>
      <c r="J69" s="9">
        <v>80</v>
      </c>
      <c r="K69" s="9"/>
      <c r="L69" s="10" t="s">
        <v>8</v>
      </c>
      <c r="M69" s="24" t="s">
        <v>178</v>
      </c>
      <c r="N69" s="7">
        <f t="shared" si="220"/>
        <v>1135000</v>
      </c>
      <c r="O69" s="8">
        <v>107</v>
      </c>
      <c r="P69" s="25">
        <v>41258</v>
      </c>
      <c r="Q69" s="8" t="str">
        <f t="shared" si="178"/>
        <v>2DA-DIC</v>
      </c>
      <c r="R69" s="26">
        <v>0</v>
      </c>
      <c r="S69" s="41" t="s">
        <v>34</v>
      </c>
      <c r="T69" s="8" t="s">
        <v>353</v>
      </c>
      <c r="U69" s="8"/>
      <c r="V69" s="7">
        <v>567500</v>
      </c>
      <c r="W69" s="7">
        <f t="shared" si="158"/>
        <v>272400</v>
      </c>
      <c r="X69" s="7">
        <f t="shared" si="179"/>
        <v>295100</v>
      </c>
      <c r="Y69" s="7">
        <v>0</v>
      </c>
      <c r="Z69" s="7">
        <f t="shared" si="180"/>
        <v>272400</v>
      </c>
      <c r="AA69" s="148" t="str">
        <f t="shared" si="181"/>
        <v>50%</v>
      </c>
      <c r="AB69" s="148">
        <f t="shared" si="182"/>
        <v>0.5</v>
      </c>
      <c r="AC69" s="25">
        <v>40982</v>
      </c>
      <c r="AD69" s="25">
        <v>40982</v>
      </c>
      <c r="AE69" s="25">
        <v>40982</v>
      </c>
      <c r="AF69" s="8"/>
      <c r="AG69" s="59" t="str">
        <f t="shared" ca="1" si="183"/>
        <v>NA</v>
      </c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59" t="str">
        <f t="shared" si="90"/>
        <v>NA</v>
      </c>
      <c r="AS69" s="59" t="str">
        <f t="shared" si="91"/>
        <v/>
      </c>
      <c r="AT69" s="59"/>
      <c r="AU69" s="59" t="str">
        <f t="shared" si="162"/>
        <v>ND</v>
      </c>
      <c r="AV69" s="66"/>
      <c r="AW69" s="66"/>
      <c r="AX69" s="66"/>
      <c r="AY69" s="66"/>
      <c r="AZ69" s="8"/>
      <c r="BA69" s="8" t="s">
        <v>37</v>
      </c>
      <c r="BB69" s="8"/>
      <c r="BC69" s="8"/>
      <c r="BD69" s="8"/>
      <c r="BE69" s="8"/>
      <c r="BF69" s="8"/>
      <c r="BG69" s="8"/>
      <c r="BH69" s="8"/>
      <c r="BI69" s="8"/>
      <c r="BJ69" s="8"/>
      <c r="BK69" s="59"/>
      <c r="BL69" s="59"/>
      <c r="BM69" s="59"/>
      <c r="BN69" s="164">
        <v>0.01</v>
      </c>
      <c r="BO69" s="165">
        <f t="shared" si="184"/>
        <v>3783.3333333333335</v>
      </c>
      <c r="BP69" s="165">
        <f t="shared" ref="BP69:BQ69" si="222">BO69</f>
        <v>3783.3333333333335</v>
      </c>
      <c r="BQ69" s="165">
        <f t="shared" si="222"/>
        <v>3783.3333333333335</v>
      </c>
      <c r="BR69" s="59"/>
      <c r="BS69" s="59"/>
      <c r="BT69" s="59"/>
      <c r="BU69" s="59"/>
      <c r="BV69" s="59" t="str">
        <f t="shared" ref="BV69:BV132" si="223">IF(BR69=0,"ND",IF(DAY(BR69)&lt;=13,"1ERA-",IF(DAY(BR69)&gt;13,"2DA-",""))&amp;(IF(MONTH(BR69)=1,"ENE","")&amp;IF(MONTH(BR69)=2,"FEB","")&amp;IF(MONTH(BR69)=3,"MAR","")&amp;IF(MONTH(BR69)=4,"ABR","")&amp;IF(MONTH(BR69)=5,"MAY","")&amp;IF(MONTH(BR69)=6,"JUN","")&amp;IF(MONTH(BR69)=7,"JUL","")&amp;IF(MONTH(BR69)=8,"AGO","")&amp;IF(MONTH(BR69)=9,"SEP","")&amp;IF(MONTH(BR69)=10,"OCT","")&amp;IF(MONTH(BR69)=11,"NOV","")&amp;IF(MONTH(BR69)=12,"DIC",""))&amp;"-"&amp;YEAR(BR69))</f>
        <v>ND</v>
      </c>
      <c r="BW69" s="59" t="str">
        <f t="shared" ref="BW69:BW132" si="224">IF(BS69=0,"ND",IF(DAY(BS69)&lt;=13,"1ERA-",IF(DAY(BS69)&gt;13,"2DA-",""))&amp;(IF(MONTH(BS69)=1,"ENE","")&amp;IF(MONTH(BS69)=2,"FEB","")&amp;IF(MONTH(BS69)=3,"MAR","")&amp;IF(MONTH(BS69)=4,"ABR","")&amp;IF(MONTH(BS69)=5,"MAY","")&amp;IF(MONTH(BS69)=6,"JUN","")&amp;IF(MONTH(BS69)=7,"JUL","")&amp;IF(MONTH(BS69)=8,"AGO","")&amp;IF(MONTH(BS69)=9,"SEP","")&amp;IF(MONTH(BS69)=10,"OCT","")&amp;IF(MONTH(BS69)=11,"NOV","")&amp;IF(MONTH(BS69)=12,"DIC",""))&amp;"-"&amp;YEAR(BS69))</f>
        <v>ND</v>
      </c>
      <c r="BX69" s="59" t="str">
        <f t="shared" ref="BX69:BX132" si="225">IF(BT69=0,"ND",IF(DAY(BT69)&lt;=13,"1ERA-",IF(DAY(BT69)&gt;13,"2DA-",""))&amp;(IF(MONTH(BT69)=1,"ENE","")&amp;IF(MONTH(BT69)=2,"FEB","")&amp;IF(MONTH(BT69)=3,"MAR","")&amp;IF(MONTH(BT69)=4,"ABR","")&amp;IF(MONTH(BT69)=5,"MAY","")&amp;IF(MONTH(BT69)=6,"JUN","")&amp;IF(MONTH(BT69)=7,"JUL","")&amp;IF(MONTH(BT69)=8,"AGO","")&amp;IF(MONTH(BT69)=9,"SEP","")&amp;IF(MONTH(BT69)=10,"OCT","")&amp;IF(MONTH(BT69)=11,"NOV","")&amp;IF(MONTH(BT69)=12,"DIC",""))&amp;"-"&amp;YEAR(BT69))</f>
        <v>ND</v>
      </c>
      <c r="BY69" s="59" t="str">
        <f t="shared" ref="BY69:BY132" si="226">IF(BU69=0,"ND",IF(DAY(BU69)&lt;=13,"1ERA-",IF(DAY(BU69)&gt;13,"2DA-",""))&amp;(IF(MONTH(BU69)=1,"ENE","")&amp;IF(MONTH(BU69)=2,"FEB","")&amp;IF(MONTH(BU69)=3,"MAR","")&amp;IF(MONTH(BU69)=4,"ABR","")&amp;IF(MONTH(BU69)=5,"MAY","")&amp;IF(MONTH(BU69)=6,"JUN","")&amp;IF(MONTH(BU69)=7,"JUL","")&amp;IF(MONTH(BU69)=8,"AGO","")&amp;IF(MONTH(BU69)=9,"SEP","")&amp;IF(MONTH(BU69)=10,"OCT","")&amp;IF(MONTH(BU69)=11,"NOV","")&amp;IF(MONTH(BU69)=12,"DIC",""))&amp;"-"&amp;YEAR(BU69))</f>
        <v>ND</v>
      </c>
      <c r="BZ69" s="59" t="str">
        <f t="shared" si="164"/>
        <v>NA</v>
      </c>
      <c r="CA69" s="59" t="str">
        <f t="shared" si="165"/>
        <v/>
      </c>
      <c r="CB69" s="59" t="str">
        <f t="shared" si="166"/>
        <v>NA</v>
      </c>
      <c r="CC69" s="59" t="str">
        <f t="shared" si="167"/>
        <v/>
      </c>
      <c r="CD69" s="59" t="str">
        <f t="shared" si="168"/>
        <v>NA</v>
      </c>
      <c r="CE69" s="59" t="str">
        <f t="shared" si="169"/>
        <v/>
      </c>
      <c r="CF69" s="59" t="str">
        <f t="shared" si="170"/>
        <v>NA</v>
      </c>
      <c r="CG69" s="59" t="str">
        <f t="shared" ca="1" si="171"/>
        <v>NA</v>
      </c>
      <c r="CH69" s="59" t="str">
        <f t="shared" ca="1" si="172"/>
        <v>NA</v>
      </c>
      <c r="CI69" s="59" t="str">
        <f t="shared" ca="1" si="173"/>
        <v>MAYOR A 45 DIAS</v>
      </c>
      <c r="CJ69" s="59" t="str">
        <f t="shared" ca="1" si="174"/>
        <v>MAYOR A 45 DIAS</v>
      </c>
      <c r="CK69" s="59" t="str">
        <f t="shared" ca="1" si="175"/>
        <v>MAYOR A 45 DIAS</v>
      </c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>
        <f t="shared" si="186"/>
        <v>0</v>
      </c>
      <c r="DH69" s="8">
        <f t="shared" si="187"/>
        <v>0</v>
      </c>
      <c r="DI69" s="8">
        <f t="shared" si="188"/>
        <v>0</v>
      </c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59" t="str">
        <f t="shared" si="189"/>
        <v>NA</v>
      </c>
      <c r="DU69" s="59" t="str">
        <f t="shared" si="190"/>
        <v>NA</v>
      </c>
      <c r="DV69" s="59" t="str">
        <f t="shared" si="191"/>
        <v>NA</v>
      </c>
      <c r="DW69" s="59" t="str">
        <f t="shared" si="192"/>
        <v>NA</v>
      </c>
      <c r="DX69" s="59" t="str">
        <f t="shared" si="193"/>
        <v>NA</v>
      </c>
      <c r="DY69" s="59" t="str">
        <f t="shared" si="194"/>
        <v>NA</v>
      </c>
      <c r="DZ69" s="59" t="str">
        <f t="shared" si="195"/>
        <v>NA</v>
      </c>
      <c r="EA69" s="59" t="str">
        <f t="shared" si="196"/>
        <v>NA</v>
      </c>
      <c r="EB69" s="59" t="str">
        <f t="shared" si="197"/>
        <v>NA</v>
      </c>
      <c r="EC69" s="59" t="str">
        <f t="shared" si="198"/>
        <v>NA</v>
      </c>
      <c r="ED69" s="59" t="str">
        <f t="shared" si="199"/>
        <v/>
      </c>
      <c r="EE69" s="59" t="str">
        <f t="shared" si="200"/>
        <v/>
      </c>
      <c r="EF69" s="59" t="str">
        <f t="shared" si="201"/>
        <v/>
      </c>
      <c r="EG69" s="59" t="str">
        <f t="shared" si="202"/>
        <v/>
      </c>
      <c r="EH69" s="59" t="str">
        <f t="shared" si="203"/>
        <v/>
      </c>
      <c r="EI69" s="59" t="str">
        <f t="shared" si="204"/>
        <v/>
      </c>
      <c r="EJ69" s="59" t="str">
        <f t="shared" si="205"/>
        <v/>
      </c>
      <c r="EK69" s="59" t="str">
        <f t="shared" si="206"/>
        <v/>
      </c>
      <c r="EL69" s="59" t="str">
        <f t="shared" si="207"/>
        <v/>
      </c>
      <c r="EM69" s="59" t="str">
        <f t="shared" si="208"/>
        <v/>
      </c>
      <c r="EN69" s="59" t="str">
        <f t="shared" si="209"/>
        <v/>
      </c>
      <c r="EO69" s="59" t="str">
        <f t="shared" si="210"/>
        <v/>
      </c>
      <c r="EP69" s="59" t="str">
        <f t="shared" si="211"/>
        <v/>
      </c>
      <c r="EQ69" s="59" t="str">
        <f t="shared" si="212"/>
        <v/>
      </c>
      <c r="ER69" s="59" t="str">
        <f t="shared" si="213"/>
        <v/>
      </c>
      <c r="ES69" s="59" t="str">
        <f t="shared" si="214"/>
        <v/>
      </c>
      <c r="ET69" s="59" t="str">
        <f t="shared" si="215"/>
        <v/>
      </c>
      <c r="EU69" s="59" t="str">
        <f t="shared" si="216"/>
        <v/>
      </c>
      <c r="EV69" s="59" t="str">
        <f t="shared" si="217"/>
        <v/>
      </c>
      <c r="EW69" s="59" t="str">
        <f t="shared" si="218"/>
        <v/>
      </c>
      <c r="EX69" s="56">
        <f t="shared" si="176"/>
        <v>1135000</v>
      </c>
    </row>
    <row r="70" spans="1:154" x14ac:dyDescent="0.25">
      <c r="A70" s="2">
        <f t="shared" si="219"/>
        <v>69</v>
      </c>
      <c r="B70" s="2" t="s">
        <v>6</v>
      </c>
      <c r="C70" s="2" t="str">
        <f t="shared" si="177"/>
        <v>020518</v>
      </c>
      <c r="D70" s="2">
        <v>2</v>
      </c>
      <c r="E70" s="2">
        <v>5</v>
      </c>
      <c r="F70" s="2">
        <v>18</v>
      </c>
      <c r="G70" s="11" t="s">
        <v>13</v>
      </c>
      <c r="H70" s="4"/>
      <c r="I70" s="42" t="s">
        <v>58</v>
      </c>
      <c r="J70" s="9">
        <v>80</v>
      </c>
      <c r="K70" s="5"/>
      <c r="L70" s="6" t="s">
        <v>306</v>
      </c>
      <c r="M70" s="24" t="s">
        <v>178</v>
      </c>
      <c r="N70" s="7">
        <f t="shared" si="220"/>
        <v>1126000</v>
      </c>
      <c r="O70" s="8">
        <v>108</v>
      </c>
      <c r="P70" s="25">
        <v>41258</v>
      </c>
      <c r="Q70" s="8" t="str">
        <f t="shared" si="178"/>
        <v>2DA-DIC</v>
      </c>
      <c r="R70" s="26">
        <v>0</v>
      </c>
      <c r="S70" s="41" t="s">
        <v>34</v>
      </c>
      <c r="T70" s="8" t="s">
        <v>353</v>
      </c>
      <c r="U70" s="8"/>
      <c r="V70" s="7">
        <v>563000</v>
      </c>
      <c r="W70" s="7">
        <f t="shared" si="158"/>
        <v>270240</v>
      </c>
      <c r="X70" s="7">
        <f t="shared" si="179"/>
        <v>292760</v>
      </c>
      <c r="Y70" s="7">
        <v>0</v>
      </c>
      <c r="Z70" s="7">
        <f t="shared" si="180"/>
        <v>270240</v>
      </c>
      <c r="AA70" s="148" t="str">
        <f t="shared" si="181"/>
        <v>50%</v>
      </c>
      <c r="AB70" s="148">
        <f t="shared" si="182"/>
        <v>0.5</v>
      </c>
      <c r="AC70" s="25">
        <v>41106</v>
      </c>
      <c r="AD70" s="25">
        <v>41106</v>
      </c>
      <c r="AE70" s="25">
        <v>41106</v>
      </c>
      <c r="AF70" s="8"/>
      <c r="AG70" s="59" t="str">
        <f t="shared" ca="1" si="183"/>
        <v>NA</v>
      </c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59" t="str">
        <f t="shared" si="90"/>
        <v>NA</v>
      </c>
      <c r="AS70" s="59" t="str">
        <f t="shared" si="91"/>
        <v/>
      </c>
      <c r="AT70" s="59"/>
      <c r="AU70" s="59" t="str">
        <f t="shared" si="162"/>
        <v>ND</v>
      </c>
      <c r="AV70" s="66"/>
      <c r="AW70" s="66"/>
      <c r="AX70" s="66"/>
      <c r="AY70" s="66"/>
      <c r="AZ70" s="8"/>
      <c r="BA70" s="8" t="s">
        <v>37</v>
      </c>
      <c r="BB70" s="8"/>
      <c r="BC70" s="8"/>
      <c r="BD70" s="8"/>
      <c r="BE70" s="8"/>
      <c r="BF70" s="8"/>
      <c r="BG70" s="8"/>
      <c r="BH70" s="8"/>
      <c r="BI70" s="8"/>
      <c r="BJ70" s="8"/>
      <c r="BK70" s="59"/>
      <c r="BL70" s="59"/>
      <c r="BM70" s="59"/>
      <c r="BN70" s="164">
        <v>0.01</v>
      </c>
      <c r="BO70" s="165">
        <f t="shared" si="184"/>
        <v>3753.3333333333335</v>
      </c>
      <c r="BP70" s="165">
        <f t="shared" ref="BP70:BQ70" si="227">BO70</f>
        <v>3753.3333333333335</v>
      </c>
      <c r="BQ70" s="165">
        <f t="shared" si="227"/>
        <v>3753.3333333333335</v>
      </c>
      <c r="BR70" s="59"/>
      <c r="BS70" s="59"/>
      <c r="BT70" s="59"/>
      <c r="BU70" s="59"/>
      <c r="BV70" s="59" t="str">
        <f t="shared" si="223"/>
        <v>ND</v>
      </c>
      <c r="BW70" s="59" t="str">
        <f t="shared" si="224"/>
        <v>ND</v>
      </c>
      <c r="BX70" s="59" t="str">
        <f t="shared" si="225"/>
        <v>ND</v>
      </c>
      <c r="BY70" s="59" t="str">
        <f t="shared" si="226"/>
        <v>ND</v>
      </c>
      <c r="BZ70" s="59" t="str">
        <f t="shared" si="164"/>
        <v>NA</v>
      </c>
      <c r="CA70" s="59" t="str">
        <f t="shared" si="165"/>
        <v/>
      </c>
      <c r="CB70" s="59" t="str">
        <f t="shared" si="166"/>
        <v>NA</v>
      </c>
      <c r="CC70" s="59" t="str">
        <f t="shared" si="167"/>
        <v/>
      </c>
      <c r="CD70" s="59" t="str">
        <f t="shared" si="168"/>
        <v>NA</v>
      </c>
      <c r="CE70" s="59" t="str">
        <f t="shared" si="169"/>
        <v/>
      </c>
      <c r="CF70" s="59" t="str">
        <f t="shared" si="170"/>
        <v>NA</v>
      </c>
      <c r="CG70" s="59" t="str">
        <f t="shared" ca="1" si="171"/>
        <v>NA</v>
      </c>
      <c r="CH70" s="59" t="str">
        <f t="shared" ca="1" si="172"/>
        <v>NA</v>
      </c>
      <c r="CI70" s="59" t="str">
        <f t="shared" ca="1" si="173"/>
        <v>DE 16 A 20 DIAS</v>
      </c>
      <c r="CJ70" s="59" t="str">
        <f t="shared" ca="1" si="174"/>
        <v>DE 16 A 20 DIAS</v>
      </c>
      <c r="CK70" s="59" t="str">
        <f t="shared" ca="1" si="175"/>
        <v>DE 16 A 20 DIAS</v>
      </c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>
        <f t="shared" si="186"/>
        <v>0</v>
      </c>
      <c r="DH70" s="8">
        <f t="shared" si="187"/>
        <v>0</v>
      </c>
      <c r="DI70" s="8">
        <f t="shared" si="188"/>
        <v>0</v>
      </c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59" t="str">
        <f t="shared" si="189"/>
        <v>NA</v>
      </c>
      <c r="DU70" s="59" t="str">
        <f t="shared" si="190"/>
        <v>NA</v>
      </c>
      <c r="DV70" s="59" t="str">
        <f t="shared" si="191"/>
        <v>NA</v>
      </c>
      <c r="DW70" s="59" t="str">
        <f t="shared" si="192"/>
        <v>NA</v>
      </c>
      <c r="DX70" s="59" t="str">
        <f t="shared" si="193"/>
        <v>NA</v>
      </c>
      <c r="DY70" s="59" t="str">
        <f t="shared" si="194"/>
        <v>NA</v>
      </c>
      <c r="DZ70" s="59" t="str">
        <f t="shared" si="195"/>
        <v>NA</v>
      </c>
      <c r="EA70" s="59" t="str">
        <f t="shared" si="196"/>
        <v>NA</v>
      </c>
      <c r="EB70" s="59" t="str">
        <f t="shared" si="197"/>
        <v>NA</v>
      </c>
      <c r="EC70" s="59" t="str">
        <f t="shared" si="198"/>
        <v>NA</v>
      </c>
      <c r="ED70" s="59" t="str">
        <f t="shared" si="199"/>
        <v/>
      </c>
      <c r="EE70" s="59" t="str">
        <f t="shared" si="200"/>
        <v/>
      </c>
      <c r="EF70" s="59" t="str">
        <f t="shared" si="201"/>
        <v/>
      </c>
      <c r="EG70" s="59" t="str">
        <f t="shared" si="202"/>
        <v/>
      </c>
      <c r="EH70" s="59" t="str">
        <f t="shared" si="203"/>
        <v/>
      </c>
      <c r="EI70" s="59" t="str">
        <f t="shared" si="204"/>
        <v/>
      </c>
      <c r="EJ70" s="59" t="str">
        <f t="shared" si="205"/>
        <v/>
      </c>
      <c r="EK70" s="59" t="str">
        <f t="shared" si="206"/>
        <v/>
      </c>
      <c r="EL70" s="59" t="str">
        <f t="shared" si="207"/>
        <v/>
      </c>
      <c r="EM70" s="59" t="str">
        <f t="shared" si="208"/>
        <v/>
      </c>
      <c r="EN70" s="59" t="str">
        <f t="shared" si="209"/>
        <v/>
      </c>
      <c r="EO70" s="59" t="str">
        <f t="shared" si="210"/>
        <v/>
      </c>
      <c r="EP70" s="59" t="str">
        <f t="shared" si="211"/>
        <v/>
      </c>
      <c r="EQ70" s="59" t="str">
        <f t="shared" si="212"/>
        <v/>
      </c>
      <c r="ER70" s="59" t="str">
        <f t="shared" si="213"/>
        <v/>
      </c>
      <c r="ES70" s="59" t="str">
        <f t="shared" si="214"/>
        <v/>
      </c>
      <c r="ET70" s="59" t="str">
        <f t="shared" si="215"/>
        <v/>
      </c>
      <c r="EU70" s="59" t="str">
        <f t="shared" si="216"/>
        <v/>
      </c>
      <c r="EV70" s="59" t="str">
        <f t="shared" si="217"/>
        <v/>
      </c>
      <c r="EW70" s="59" t="str">
        <f t="shared" si="218"/>
        <v/>
      </c>
      <c r="EX70" s="56">
        <f t="shared" si="176"/>
        <v>1126000</v>
      </c>
    </row>
    <row r="71" spans="1:154" x14ac:dyDescent="0.25">
      <c r="A71" s="2">
        <f t="shared" si="219"/>
        <v>70</v>
      </c>
      <c r="B71" s="2" t="s">
        <v>6</v>
      </c>
      <c r="C71" s="2" t="str">
        <f t="shared" si="177"/>
        <v>020519</v>
      </c>
      <c r="D71" s="2">
        <v>2</v>
      </c>
      <c r="E71" s="2">
        <v>5</v>
      </c>
      <c r="F71" s="2">
        <v>19</v>
      </c>
      <c r="G71" s="11" t="s">
        <v>13</v>
      </c>
      <c r="H71" s="4"/>
      <c r="I71" s="42" t="s">
        <v>58</v>
      </c>
      <c r="J71" s="9">
        <v>80</v>
      </c>
      <c r="K71" s="5"/>
      <c r="L71" s="6" t="s">
        <v>306</v>
      </c>
      <c r="M71" s="24" t="s">
        <v>178</v>
      </c>
      <c r="N71" s="7">
        <f t="shared" si="220"/>
        <v>1126000</v>
      </c>
      <c r="O71" s="8">
        <v>109</v>
      </c>
      <c r="P71" s="25">
        <v>41258</v>
      </c>
      <c r="Q71" s="8" t="str">
        <f t="shared" si="178"/>
        <v>2DA-DIC</v>
      </c>
      <c r="R71" s="26">
        <v>0</v>
      </c>
      <c r="S71" s="41" t="s">
        <v>34</v>
      </c>
      <c r="T71" s="8" t="s">
        <v>353</v>
      </c>
      <c r="U71" s="8"/>
      <c r="V71" s="7">
        <v>563000</v>
      </c>
      <c r="W71" s="7">
        <f>+V71*1</f>
        <v>563000</v>
      </c>
      <c r="X71" s="7">
        <f t="shared" si="179"/>
        <v>0</v>
      </c>
      <c r="Y71" s="7">
        <v>0</v>
      </c>
      <c r="Z71" s="7">
        <f t="shared" si="180"/>
        <v>563000</v>
      </c>
      <c r="AA71" s="148" t="str">
        <f t="shared" si="181"/>
        <v>100%</v>
      </c>
      <c r="AB71" s="148">
        <f t="shared" si="182"/>
        <v>0</v>
      </c>
      <c r="AC71" s="25">
        <v>41090</v>
      </c>
      <c r="AD71" s="25">
        <v>41090</v>
      </c>
      <c r="AE71" s="25">
        <v>41090</v>
      </c>
      <c r="AF71" s="8"/>
      <c r="AG71" s="59" t="str">
        <f t="shared" ca="1" si="183"/>
        <v>NA</v>
      </c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59" t="str">
        <f t="shared" ref="AR71:AR134" si="228">IF(AF71=0,"NA","SEM "&amp;WEEKNUM(AF71))</f>
        <v>NA</v>
      </c>
      <c r="AS71" s="59" t="str">
        <f t="shared" ref="AS71:AS134" si="229">IF(AF71=0,"",IF(MONTH(AF71)=1,"ENE","")&amp;IF(MONTH(AF71)=2,"FEB","")&amp;IF(MONTH(AF71)=3,"MAR","")&amp;IF(MONTH(AF71)=4,"ABR","")&amp;IF(MONTH(AF71)=5,"MAY","")&amp;IF(MONTH(AF71)=6,"JUN","")&amp;IF(MONTH(AF71)=7,"JUL","")&amp;IF(MONTH(AF71)=8,"AGO","")&amp;IF(MONTH(AF71)=9,"SEP","")&amp;IF(MONTH(AF71)=10,"OCT","")&amp;IF(MONTH(AF71)=11,"NOV","")&amp;IF(MONTH(AF71)=12,"DIC",""))</f>
        <v/>
      </c>
      <c r="AT71" s="59"/>
      <c r="AU71" s="59" t="str">
        <f t="shared" si="162"/>
        <v>ND</v>
      </c>
      <c r="AV71" s="66"/>
      <c r="AW71" s="66"/>
      <c r="AX71" s="66"/>
      <c r="AY71" s="66"/>
      <c r="AZ71" s="8"/>
      <c r="BA71" s="8" t="s">
        <v>37</v>
      </c>
      <c r="BB71" s="8"/>
      <c r="BC71" s="8"/>
      <c r="BD71" s="8"/>
      <c r="BE71" s="8"/>
      <c r="BF71" s="8"/>
      <c r="BG71" s="8"/>
      <c r="BH71" s="8"/>
      <c r="BI71" s="8"/>
      <c r="BJ71" s="8"/>
      <c r="BK71" s="59"/>
      <c r="BL71" s="59"/>
      <c r="BM71" s="59"/>
      <c r="BN71" s="164">
        <v>0.01</v>
      </c>
      <c r="BO71" s="165">
        <f t="shared" si="184"/>
        <v>3753.3333333333335</v>
      </c>
      <c r="BP71" s="165">
        <f t="shared" ref="BP71:BQ71" si="230">BO71</f>
        <v>3753.3333333333335</v>
      </c>
      <c r="BQ71" s="165">
        <f t="shared" si="230"/>
        <v>3753.3333333333335</v>
      </c>
      <c r="BR71" s="59"/>
      <c r="BS71" s="59"/>
      <c r="BT71" s="59"/>
      <c r="BU71" s="59"/>
      <c r="BV71" s="59" t="str">
        <f t="shared" si="223"/>
        <v>ND</v>
      </c>
      <c r="BW71" s="59" t="str">
        <f t="shared" si="224"/>
        <v>ND</v>
      </c>
      <c r="BX71" s="59" t="str">
        <f t="shared" si="225"/>
        <v>ND</v>
      </c>
      <c r="BY71" s="59" t="str">
        <f t="shared" si="226"/>
        <v>ND</v>
      </c>
      <c r="BZ71" s="59" t="str">
        <f t="shared" si="164"/>
        <v>NA</v>
      </c>
      <c r="CA71" s="59" t="str">
        <f t="shared" si="165"/>
        <v/>
      </c>
      <c r="CB71" s="59" t="str">
        <f t="shared" si="166"/>
        <v>NA</v>
      </c>
      <c r="CC71" s="59" t="str">
        <f t="shared" si="167"/>
        <v/>
      </c>
      <c r="CD71" s="59" t="str">
        <f t="shared" si="168"/>
        <v>NA</v>
      </c>
      <c r="CE71" s="59" t="str">
        <f t="shared" si="169"/>
        <v/>
      </c>
      <c r="CF71" s="59" t="str">
        <f t="shared" si="170"/>
        <v>NA</v>
      </c>
      <c r="CG71" s="59" t="str">
        <f t="shared" ca="1" si="171"/>
        <v>NA</v>
      </c>
      <c r="CH71" s="59" t="str">
        <f t="shared" ca="1" si="172"/>
        <v>NA</v>
      </c>
      <c r="CI71" s="59" t="str">
        <f t="shared" ca="1" si="173"/>
        <v>DE 31 A 35 DIAS</v>
      </c>
      <c r="CJ71" s="59" t="str">
        <f t="shared" ca="1" si="174"/>
        <v>DE 31 A 35 DIAS</v>
      </c>
      <c r="CK71" s="59" t="str">
        <f t="shared" ca="1" si="175"/>
        <v>DE 31 A 35 DIAS</v>
      </c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>
        <f t="shared" si="186"/>
        <v>0</v>
      </c>
      <c r="DH71" s="8">
        <f t="shared" si="187"/>
        <v>0</v>
      </c>
      <c r="DI71" s="8">
        <f t="shared" si="188"/>
        <v>0</v>
      </c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59" t="str">
        <f t="shared" si="189"/>
        <v>NA</v>
      </c>
      <c r="DU71" s="59" t="str">
        <f t="shared" si="190"/>
        <v>NA</v>
      </c>
      <c r="DV71" s="59" t="str">
        <f t="shared" si="191"/>
        <v>NA</v>
      </c>
      <c r="DW71" s="59" t="str">
        <f t="shared" si="192"/>
        <v>NA</v>
      </c>
      <c r="DX71" s="59" t="str">
        <f t="shared" si="193"/>
        <v>NA</v>
      </c>
      <c r="DY71" s="59" t="str">
        <f t="shared" si="194"/>
        <v>NA</v>
      </c>
      <c r="DZ71" s="59" t="str">
        <f t="shared" si="195"/>
        <v>NA</v>
      </c>
      <c r="EA71" s="59" t="str">
        <f t="shared" si="196"/>
        <v>NA</v>
      </c>
      <c r="EB71" s="59" t="str">
        <f t="shared" si="197"/>
        <v>NA</v>
      </c>
      <c r="EC71" s="59" t="str">
        <f t="shared" si="198"/>
        <v>NA</v>
      </c>
      <c r="ED71" s="59" t="str">
        <f t="shared" si="199"/>
        <v/>
      </c>
      <c r="EE71" s="59" t="str">
        <f t="shared" si="200"/>
        <v/>
      </c>
      <c r="EF71" s="59" t="str">
        <f t="shared" si="201"/>
        <v/>
      </c>
      <c r="EG71" s="59" t="str">
        <f t="shared" si="202"/>
        <v/>
      </c>
      <c r="EH71" s="59" t="str">
        <f t="shared" si="203"/>
        <v/>
      </c>
      <c r="EI71" s="59" t="str">
        <f t="shared" si="204"/>
        <v/>
      </c>
      <c r="EJ71" s="59" t="str">
        <f t="shared" si="205"/>
        <v/>
      </c>
      <c r="EK71" s="59" t="str">
        <f t="shared" si="206"/>
        <v/>
      </c>
      <c r="EL71" s="59" t="str">
        <f t="shared" si="207"/>
        <v/>
      </c>
      <c r="EM71" s="59" t="str">
        <f t="shared" si="208"/>
        <v/>
      </c>
      <c r="EN71" s="59" t="str">
        <f t="shared" si="209"/>
        <v/>
      </c>
      <c r="EO71" s="59" t="str">
        <f t="shared" si="210"/>
        <v/>
      </c>
      <c r="EP71" s="59" t="str">
        <f t="shared" si="211"/>
        <v/>
      </c>
      <c r="EQ71" s="59" t="str">
        <f t="shared" si="212"/>
        <v/>
      </c>
      <c r="ER71" s="59" t="str">
        <f t="shared" si="213"/>
        <v/>
      </c>
      <c r="ES71" s="59" t="str">
        <f t="shared" si="214"/>
        <v/>
      </c>
      <c r="ET71" s="59" t="str">
        <f t="shared" si="215"/>
        <v/>
      </c>
      <c r="EU71" s="59" t="str">
        <f t="shared" si="216"/>
        <v/>
      </c>
      <c r="EV71" s="59" t="str">
        <f t="shared" si="217"/>
        <v/>
      </c>
      <c r="EW71" s="59" t="str">
        <f t="shared" si="218"/>
        <v/>
      </c>
      <c r="EX71" s="56">
        <f t="shared" si="176"/>
        <v>1126000</v>
      </c>
    </row>
    <row r="72" spans="1:154" x14ac:dyDescent="0.25">
      <c r="A72" s="2">
        <f t="shared" si="219"/>
        <v>71</v>
      </c>
      <c r="B72" s="2" t="s">
        <v>6</v>
      </c>
      <c r="C72" s="2" t="str">
        <f t="shared" si="177"/>
        <v>020520</v>
      </c>
      <c r="D72" s="2">
        <v>2</v>
      </c>
      <c r="E72" s="2">
        <v>5</v>
      </c>
      <c r="F72" s="2">
        <v>20</v>
      </c>
      <c r="G72" s="11" t="s">
        <v>13</v>
      </c>
      <c r="H72" s="4"/>
      <c r="I72" s="42" t="s">
        <v>58</v>
      </c>
      <c r="J72" s="9">
        <v>82.545000000000002</v>
      </c>
      <c r="K72" s="9"/>
      <c r="L72" s="10" t="s">
        <v>8</v>
      </c>
      <c r="M72" s="24" t="s">
        <v>178</v>
      </c>
      <c r="N72" s="7">
        <f t="shared" si="220"/>
        <v>1144671</v>
      </c>
      <c r="O72" s="8">
        <v>110</v>
      </c>
      <c r="P72" s="25">
        <v>41258</v>
      </c>
      <c r="Q72" s="8" t="str">
        <f t="shared" si="178"/>
        <v>2DA-DIC</v>
      </c>
      <c r="R72" s="26">
        <v>0</v>
      </c>
      <c r="S72" s="41" t="s">
        <v>34</v>
      </c>
      <c r="T72" s="8" t="s">
        <v>353</v>
      </c>
      <c r="U72" s="8"/>
      <c r="V72" s="7">
        <v>572335.5</v>
      </c>
      <c r="W72" s="7">
        <f t="shared" ref="W72:W81" si="231">+V72*1</f>
        <v>572335.5</v>
      </c>
      <c r="X72" s="7">
        <f t="shared" si="179"/>
        <v>0</v>
      </c>
      <c r="Y72" s="7">
        <v>0</v>
      </c>
      <c r="Z72" s="7">
        <f t="shared" si="180"/>
        <v>572335.5</v>
      </c>
      <c r="AA72" s="148" t="str">
        <f t="shared" si="181"/>
        <v>100%</v>
      </c>
      <c r="AB72" s="148">
        <f t="shared" si="182"/>
        <v>0</v>
      </c>
      <c r="AC72" s="25">
        <v>41075</v>
      </c>
      <c r="AD72" s="25">
        <v>41075</v>
      </c>
      <c r="AE72" s="25">
        <v>41075</v>
      </c>
      <c r="AF72" s="8"/>
      <c r="AG72" s="59" t="str">
        <f t="shared" ca="1" si="183"/>
        <v>NA</v>
      </c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59" t="str">
        <f t="shared" si="228"/>
        <v>NA</v>
      </c>
      <c r="AS72" s="59" t="str">
        <f t="shared" si="229"/>
        <v/>
      </c>
      <c r="AT72" s="59"/>
      <c r="AU72" s="59" t="str">
        <f t="shared" si="162"/>
        <v>ND</v>
      </c>
      <c r="AV72" s="66"/>
      <c r="AW72" s="66"/>
      <c r="AX72" s="66"/>
      <c r="AY72" s="66"/>
      <c r="AZ72" s="8"/>
      <c r="BA72" s="8" t="s">
        <v>37</v>
      </c>
      <c r="BB72" s="8"/>
      <c r="BC72" s="8"/>
      <c r="BD72" s="8"/>
      <c r="BE72" s="8"/>
      <c r="BF72" s="8"/>
      <c r="BG72" s="8"/>
      <c r="BH72" s="8"/>
      <c r="BI72" s="8"/>
      <c r="BJ72" s="8"/>
      <c r="BK72" s="59"/>
      <c r="BL72" s="59"/>
      <c r="BM72" s="59"/>
      <c r="BN72" s="164">
        <v>0.01</v>
      </c>
      <c r="BO72" s="165">
        <f t="shared" si="184"/>
        <v>3815.57</v>
      </c>
      <c r="BP72" s="165">
        <f t="shared" ref="BP72:BQ72" si="232">BO72</f>
        <v>3815.57</v>
      </c>
      <c r="BQ72" s="165">
        <f t="shared" si="232"/>
        <v>3815.57</v>
      </c>
      <c r="BR72" s="59"/>
      <c r="BS72" s="59"/>
      <c r="BT72" s="59"/>
      <c r="BU72" s="59"/>
      <c r="BV72" s="59" t="str">
        <f t="shared" si="223"/>
        <v>ND</v>
      </c>
      <c r="BW72" s="59" t="str">
        <f t="shared" si="224"/>
        <v>ND</v>
      </c>
      <c r="BX72" s="59" t="str">
        <f t="shared" si="225"/>
        <v>ND</v>
      </c>
      <c r="BY72" s="59" t="str">
        <f t="shared" si="226"/>
        <v>ND</v>
      </c>
      <c r="BZ72" s="59" t="str">
        <f t="shared" si="164"/>
        <v>NA</v>
      </c>
      <c r="CA72" s="59" t="str">
        <f t="shared" si="165"/>
        <v/>
      </c>
      <c r="CB72" s="59" t="str">
        <f t="shared" si="166"/>
        <v>NA</v>
      </c>
      <c r="CC72" s="59" t="str">
        <f t="shared" si="167"/>
        <v/>
      </c>
      <c r="CD72" s="59" t="str">
        <f t="shared" si="168"/>
        <v>NA</v>
      </c>
      <c r="CE72" s="59" t="str">
        <f t="shared" si="169"/>
        <v/>
      </c>
      <c r="CF72" s="59" t="str">
        <f t="shared" si="170"/>
        <v>NA</v>
      </c>
      <c r="CG72" s="59" t="str">
        <f t="shared" ca="1" si="171"/>
        <v>NA</v>
      </c>
      <c r="CH72" s="59" t="str">
        <f t="shared" ca="1" si="172"/>
        <v>NA</v>
      </c>
      <c r="CI72" s="59" t="str">
        <f t="shared" ca="1" si="173"/>
        <v>MAYOR A 45 DIAS</v>
      </c>
      <c r="CJ72" s="59" t="str">
        <f t="shared" ca="1" si="174"/>
        <v>MAYOR A 45 DIAS</v>
      </c>
      <c r="CK72" s="59" t="str">
        <f t="shared" ca="1" si="175"/>
        <v>MAYOR A 45 DIAS</v>
      </c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>
        <f t="shared" si="186"/>
        <v>0</v>
      </c>
      <c r="DH72" s="8">
        <f t="shared" si="187"/>
        <v>0</v>
      </c>
      <c r="DI72" s="8">
        <f t="shared" si="188"/>
        <v>0</v>
      </c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59" t="str">
        <f t="shared" si="189"/>
        <v>NA</v>
      </c>
      <c r="DU72" s="59" t="str">
        <f t="shared" si="190"/>
        <v>NA</v>
      </c>
      <c r="DV72" s="59" t="str">
        <f t="shared" si="191"/>
        <v>NA</v>
      </c>
      <c r="DW72" s="59" t="str">
        <f t="shared" si="192"/>
        <v>NA</v>
      </c>
      <c r="DX72" s="59" t="str">
        <f t="shared" si="193"/>
        <v>NA</v>
      </c>
      <c r="DY72" s="59" t="str">
        <f t="shared" si="194"/>
        <v>NA</v>
      </c>
      <c r="DZ72" s="59" t="str">
        <f t="shared" si="195"/>
        <v>NA</v>
      </c>
      <c r="EA72" s="59" t="str">
        <f t="shared" si="196"/>
        <v>NA</v>
      </c>
      <c r="EB72" s="59" t="str">
        <f t="shared" si="197"/>
        <v>NA</v>
      </c>
      <c r="EC72" s="59" t="str">
        <f t="shared" si="198"/>
        <v>NA</v>
      </c>
      <c r="ED72" s="59" t="str">
        <f t="shared" si="199"/>
        <v/>
      </c>
      <c r="EE72" s="59" t="str">
        <f t="shared" si="200"/>
        <v/>
      </c>
      <c r="EF72" s="59" t="str">
        <f t="shared" si="201"/>
        <v/>
      </c>
      <c r="EG72" s="59" t="str">
        <f t="shared" si="202"/>
        <v/>
      </c>
      <c r="EH72" s="59" t="str">
        <f t="shared" si="203"/>
        <v/>
      </c>
      <c r="EI72" s="59" t="str">
        <f t="shared" si="204"/>
        <v/>
      </c>
      <c r="EJ72" s="59" t="str">
        <f t="shared" si="205"/>
        <v/>
      </c>
      <c r="EK72" s="59" t="str">
        <f t="shared" si="206"/>
        <v/>
      </c>
      <c r="EL72" s="59" t="str">
        <f t="shared" si="207"/>
        <v/>
      </c>
      <c r="EM72" s="59" t="str">
        <f t="shared" si="208"/>
        <v/>
      </c>
      <c r="EN72" s="59" t="str">
        <f t="shared" si="209"/>
        <v/>
      </c>
      <c r="EO72" s="59" t="str">
        <f t="shared" si="210"/>
        <v/>
      </c>
      <c r="EP72" s="59" t="str">
        <f t="shared" si="211"/>
        <v/>
      </c>
      <c r="EQ72" s="59" t="str">
        <f t="shared" si="212"/>
        <v/>
      </c>
      <c r="ER72" s="59" t="str">
        <f t="shared" si="213"/>
        <v/>
      </c>
      <c r="ES72" s="59" t="str">
        <f t="shared" si="214"/>
        <v/>
      </c>
      <c r="ET72" s="59" t="str">
        <f t="shared" si="215"/>
        <v/>
      </c>
      <c r="EU72" s="59" t="str">
        <f t="shared" si="216"/>
        <v/>
      </c>
      <c r="EV72" s="59" t="str">
        <f t="shared" si="217"/>
        <v/>
      </c>
      <c r="EW72" s="59" t="str">
        <f t="shared" si="218"/>
        <v/>
      </c>
      <c r="EX72" s="56">
        <f t="shared" si="176"/>
        <v>1144671</v>
      </c>
    </row>
    <row r="73" spans="1:154" x14ac:dyDescent="0.25">
      <c r="A73" s="2">
        <f t="shared" si="219"/>
        <v>72</v>
      </c>
      <c r="B73" s="2" t="s">
        <v>6</v>
      </c>
      <c r="C73" s="2" t="str">
        <f t="shared" si="177"/>
        <v>020601</v>
      </c>
      <c r="D73" s="2">
        <v>2</v>
      </c>
      <c r="E73" s="2">
        <v>6</v>
      </c>
      <c r="F73" s="2">
        <v>1</v>
      </c>
      <c r="G73" s="11" t="s">
        <v>14</v>
      </c>
      <c r="H73" s="4"/>
      <c r="I73" s="42" t="s">
        <v>58</v>
      </c>
      <c r="J73" s="9">
        <v>82.421000000000006</v>
      </c>
      <c r="K73" s="9"/>
      <c r="L73" s="10" t="s">
        <v>8</v>
      </c>
      <c r="M73" s="23" t="s">
        <v>177</v>
      </c>
      <c r="N73" s="7">
        <f t="shared" si="220"/>
        <v>1144199.8</v>
      </c>
      <c r="O73" s="8">
        <v>111</v>
      </c>
      <c r="P73" s="25">
        <v>41182</v>
      </c>
      <c r="Q73" s="8" t="str">
        <f t="shared" si="178"/>
        <v>2DA-SEP</v>
      </c>
      <c r="R73" s="26">
        <v>0.1</v>
      </c>
      <c r="S73" s="41" t="s">
        <v>34</v>
      </c>
      <c r="T73" s="8" t="s">
        <v>353</v>
      </c>
      <c r="U73" s="8"/>
      <c r="V73" s="7">
        <v>572099.9</v>
      </c>
      <c r="W73" s="7">
        <f t="shared" si="231"/>
        <v>572099.9</v>
      </c>
      <c r="X73" s="7">
        <f t="shared" si="179"/>
        <v>0</v>
      </c>
      <c r="Y73" s="7">
        <v>0</v>
      </c>
      <c r="Z73" s="7">
        <f t="shared" si="180"/>
        <v>572099.9</v>
      </c>
      <c r="AA73" s="148" t="str">
        <f t="shared" si="181"/>
        <v>100%</v>
      </c>
      <c r="AB73" s="148">
        <f t="shared" si="182"/>
        <v>0</v>
      </c>
      <c r="AC73" s="25">
        <v>41061</v>
      </c>
      <c r="AD73" s="25">
        <v>41061</v>
      </c>
      <c r="AE73" s="25">
        <v>41061</v>
      </c>
      <c r="AF73" s="8"/>
      <c r="AG73" s="59" t="str">
        <f t="shared" ca="1" si="183"/>
        <v>NA</v>
      </c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59" t="str">
        <f t="shared" si="228"/>
        <v>NA</v>
      </c>
      <c r="AS73" s="59" t="str">
        <f t="shared" si="229"/>
        <v/>
      </c>
      <c r="AT73" s="59"/>
      <c r="AU73" s="59" t="str">
        <f t="shared" si="162"/>
        <v>ND</v>
      </c>
      <c r="AV73" s="66"/>
      <c r="AW73" s="66"/>
      <c r="AX73" s="66"/>
      <c r="AY73" s="66"/>
      <c r="AZ73" s="8"/>
      <c r="BA73" s="8" t="s">
        <v>37</v>
      </c>
      <c r="BB73" s="8"/>
      <c r="BC73" s="8"/>
      <c r="BD73" s="8"/>
      <c r="BE73" s="8"/>
      <c r="BF73" s="8"/>
      <c r="BG73" s="8"/>
      <c r="BH73" s="8"/>
      <c r="BI73" s="8"/>
      <c r="BJ73" s="8"/>
      <c r="BK73" s="59"/>
      <c r="BL73" s="59"/>
      <c r="BM73" s="59"/>
      <c r="BN73" s="164">
        <v>0.01</v>
      </c>
      <c r="BO73" s="165">
        <f t="shared" si="184"/>
        <v>3813.9993333333337</v>
      </c>
      <c r="BP73" s="165">
        <f t="shared" ref="BP73:BQ73" si="233">BO73</f>
        <v>3813.9993333333337</v>
      </c>
      <c r="BQ73" s="165">
        <f t="shared" si="233"/>
        <v>3813.9993333333337</v>
      </c>
      <c r="BR73" s="59"/>
      <c r="BS73" s="59"/>
      <c r="BT73" s="59"/>
      <c r="BU73" s="59"/>
      <c r="BV73" s="59" t="str">
        <f t="shared" si="223"/>
        <v>ND</v>
      </c>
      <c r="BW73" s="59" t="str">
        <f t="shared" si="224"/>
        <v>ND</v>
      </c>
      <c r="BX73" s="59" t="str">
        <f t="shared" si="225"/>
        <v>ND</v>
      </c>
      <c r="BY73" s="59" t="str">
        <f t="shared" si="226"/>
        <v>ND</v>
      </c>
      <c r="BZ73" s="59" t="str">
        <f t="shared" si="164"/>
        <v>NA</v>
      </c>
      <c r="CA73" s="59" t="str">
        <f t="shared" si="165"/>
        <v/>
      </c>
      <c r="CB73" s="59" t="str">
        <f t="shared" si="166"/>
        <v>NA</v>
      </c>
      <c r="CC73" s="59" t="str">
        <f t="shared" si="167"/>
        <v/>
      </c>
      <c r="CD73" s="59" t="str">
        <f t="shared" si="168"/>
        <v>NA</v>
      </c>
      <c r="CE73" s="59" t="str">
        <f t="shared" si="169"/>
        <v/>
      </c>
      <c r="CF73" s="59" t="str">
        <f t="shared" si="170"/>
        <v>NA</v>
      </c>
      <c r="CG73" s="59" t="str">
        <f t="shared" ca="1" si="171"/>
        <v>NA</v>
      </c>
      <c r="CH73" s="59" t="str">
        <f t="shared" ca="1" si="172"/>
        <v>NA</v>
      </c>
      <c r="CI73" s="59" t="str">
        <f t="shared" ca="1" si="173"/>
        <v>MAYOR A 45 DIAS</v>
      </c>
      <c r="CJ73" s="59" t="str">
        <f t="shared" ca="1" si="174"/>
        <v>MAYOR A 45 DIAS</v>
      </c>
      <c r="CK73" s="59" t="str">
        <f t="shared" ca="1" si="175"/>
        <v>MAYOR A 45 DIAS</v>
      </c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>
        <f t="shared" si="186"/>
        <v>0</v>
      </c>
      <c r="DH73" s="8">
        <f t="shared" si="187"/>
        <v>0</v>
      </c>
      <c r="DI73" s="8">
        <f t="shared" si="188"/>
        <v>0</v>
      </c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59" t="str">
        <f t="shared" si="189"/>
        <v>NA</v>
      </c>
      <c r="DU73" s="59" t="str">
        <f t="shared" si="190"/>
        <v>NA</v>
      </c>
      <c r="DV73" s="59" t="str">
        <f t="shared" si="191"/>
        <v>NA</v>
      </c>
      <c r="DW73" s="59" t="str">
        <f t="shared" si="192"/>
        <v>NA</v>
      </c>
      <c r="DX73" s="59" t="str">
        <f t="shared" si="193"/>
        <v>NA</v>
      </c>
      <c r="DY73" s="59" t="str">
        <f t="shared" si="194"/>
        <v>NA</v>
      </c>
      <c r="DZ73" s="59" t="str">
        <f t="shared" si="195"/>
        <v>NA</v>
      </c>
      <c r="EA73" s="59" t="str">
        <f t="shared" si="196"/>
        <v>NA</v>
      </c>
      <c r="EB73" s="59" t="str">
        <f t="shared" si="197"/>
        <v>NA</v>
      </c>
      <c r="EC73" s="59" t="str">
        <f t="shared" si="198"/>
        <v>NA</v>
      </c>
      <c r="ED73" s="59" t="str">
        <f t="shared" si="199"/>
        <v/>
      </c>
      <c r="EE73" s="59" t="str">
        <f t="shared" si="200"/>
        <v/>
      </c>
      <c r="EF73" s="59" t="str">
        <f t="shared" si="201"/>
        <v/>
      </c>
      <c r="EG73" s="59" t="str">
        <f t="shared" si="202"/>
        <v/>
      </c>
      <c r="EH73" s="59" t="str">
        <f t="shared" si="203"/>
        <v/>
      </c>
      <c r="EI73" s="59" t="str">
        <f t="shared" si="204"/>
        <v/>
      </c>
      <c r="EJ73" s="59" t="str">
        <f t="shared" si="205"/>
        <v/>
      </c>
      <c r="EK73" s="59" t="str">
        <f t="shared" si="206"/>
        <v/>
      </c>
      <c r="EL73" s="59" t="str">
        <f t="shared" si="207"/>
        <v/>
      </c>
      <c r="EM73" s="59" t="str">
        <f t="shared" si="208"/>
        <v/>
      </c>
      <c r="EN73" s="59" t="str">
        <f t="shared" si="209"/>
        <v/>
      </c>
      <c r="EO73" s="59" t="str">
        <f t="shared" si="210"/>
        <v/>
      </c>
      <c r="EP73" s="59" t="str">
        <f t="shared" si="211"/>
        <v/>
      </c>
      <c r="EQ73" s="59" t="str">
        <f t="shared" si="212"/>
        <v/>
      </c>
      <c r="ER73" s="59" t="str">
        <f t="shared" si="213"/>
        <v/>
      </c>
      <c r="ES73" s="59" t="str">
        <f t="shared" si="214"/>
        <v/>
      </c>
      <c r="ET73" s="59" t="str">
        <f t="shared" si="215"/>
        <v/>
      </c>
      <c r="EU73" s="59" t="str">
        <f t="shared" si="216"/>
        <v/>
      </c>
      <c r="EV73" s="59" t="str">
        <f t="shared" si="217"/>
        <v/>
      </c>
      <c r="EW73" s="59" t="str">
        <f t="shared" si="218"/>
        <v/>
      </c>
      <c r="EX73" s="56">
        <f t="shared" si="176"/>
        <v>1144199.8</v>
      </c>
    </row>
    <row r="74" spans="1:154" x14ac:dyDescent="0.25">
      <c r="A74" s="2">
        <f t="shared" si="219"/>
        <v>73</v>
      </c>
      <c r="B74" s="2" t="s">
        <v>6</v>
      </c>
      <c r="C74" s="2" t="str">
        <f t="shared" si="177"/>
        <v>020602</v>
      </c>
      <c r="D74" s="2">
        <v>2</v>
      </c>
      <c r="E74" s="2">
        <v>6</v>
      </c>
      <c r="F74" s="2">
        <v>2</v>
      </c>
      <c r="G74" s="11" t="s">
        <v>14</v>
      </c>
      <c r="H74" s="4"/>
      <c r="I74" s="42" t="s">
        <v>58</v>
      </c>
      <c r="J74" s="9">
        <v>80</v>
      </c>
      <c r="K74" s="5"/>
      <c r="L74" s="6" t="s">
        <v>306</v>
      </c>
      <c r="M74" s="23" t="s">
        <v>177</v>
      </c>
      <c r="N74" s="7">
        <f t="shared" si="220"/>
        <v>1126000</v>
      </c>
      <c r="O74" s="8">
        <v>112</v>
      </c>
      <c r="P74" s="25">
        <v>41182</v>
      </c>
      <c r="Q74" s="8" t="str">
        <f t="shared" si="178"/>
        <v>2DA-SEP</v>
      </c>
      <c r="R74" s="26">
        <v>0.1</v>
      </c>
      <c r="S74" s="41" t="s">
        <v>34</v>
      </c>
      <c r="T74" s="8" t="s">
        <v>353</v>
      </c>
      <c r="U74" s="8"/>
      <c r="V74" s="7">
        <v>563000</v>
      </c>
      <c r="W74" s="7">
        <f t="shared" si="231"/>
        <v>563000</v>
      </c>
      <c r="X74" s="7">
        <f t="shared" si="179"/>
        <v>0</v>
      </c>
      <c r="Y74" s="7">
        <v>0</v>
      </c>
      <c r="Z74" s="7">
        <f t="shared" si="180"/>
        <v>563000</v>
      </c>
      <c r="AA74" s="148" t="str">
        <f t="shared" si="181"/>
        <v>100%</v>
      </c>
      <c r="AB74" s="148">
        <f t="shared" si="182"/>
        <v>0</v>
      </c>
      <c r="AC74" s="25">
        <v>40982</v>
      </c>
      <c r="AD74" s="25">
        <v>40982</v>
      </c>
      <c r="AE74" s="25">
        <v>40982</v>
      </c>
      <c r="AF74" s="8"/>
      <c r="AG74" s="59" t="str">
        <f t="shared" ca="1" si="183"/>
        <v>NA</v>
      </c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59" t="str">
        <f t="shared" si="228"/>
        <v>NA</v>
      </c>
      <c r="AS74" s="59" t="str">
        <f t="shared" si="229"/>
        <v/>
      </c>
      <c r="AT74" s="59"/>
      <c r="AU74" s="59" t="str">
        <f t="shared" si="162"/>
        <v>ND</v>
      </c>
      <c r="AV74" s="66"/>
      <c r="AW74" s="66"/>
      <c r="AX74" s="66"/>
      <c r="AY74" s="66"/>
      <c r="AZ74" s="8"/>
      <c r="BA74" s="8" t="s">
        <v>37</v>
      </c>
      <c r="BB74" s="8"/>
      <c r="BC74" s="8"/>
      <c r="BD74" s="8"/>
      <c r="BE74" s="8"/>
      <c r="BF74" s="8"/>
      <c r="BG74" s="8"/>
      <c r="BH74" s="8"/>
      <c r="BI74" s="8"/>
      <c r="BJ74" s="8"/>
      <c r="BK74" s="59"/>
      <c r="BL74" s="59"/>
      <c r="BM74" s="59"/>
      <c r="BN74" s="164">
        <v>0.01</v>
      </c>
      <c r="BO74" s="165">
        <f t="shared" si="184"/>
        <v>3753.3333333333335</v>
      </c>
      <c r="BP74" s="165">
        <f t="shared" ref="BP74:BQ74" si="234">BO74</f>
        <v>3753.3333333333335</v>
      </c>
      <c r="BQ74" s="165">
        <f t="shared" si="234"/>
        <v>3753.3333333333335</v>
      </c>
      <c r="BR74" s="59"/>
      <c r="BS74" s="59"/>
      <c r="BT74" s="59"/>
      <c r="BU74" s="59"/>
      <c r="BV74" s="59" t="str">
        <f t="shared" si="223"/>
        <v>ND</v>
      </c>
      <c r="BW74" s="59" t="str">
        <f t="shared" si="224"/>
        <v>ND</v>
      </c>
      <c r="BX74" s="59" t="str">
        <f t="shared" si="225"/>
        <v>ND</v>
      </c>
      <c r="BY74" s="59" t="str">
        <f t="shared" si="226"/>
        <v>ND</v>
      </c>
      <c r="BZ74" s="59" t="str">
        <f t="shared" si="164"/>
        <v>NA</v>
      </c>
      <c r="CA74" s="59" t="str">
        <f t="shared" si="165"/>
        <v/>
      </c>
      <c r="CB74" s="59" t="str">
        <f t="shared" si="166"/>
        <v>NA</v>
      </c>
      <c r="CC74" s="59" t="str">
        <f t="shared" si="167"/>
        <v/>
      </c>
      <c r="CD74" s="59" t="str">
        <f t="shared" si="168"/>
        <v>NA</v>
      </c>
      <c r="CE74" s="59" t="str">
        <f t="shared" si="169"/>
        <v/>
      </c>
      <c r="CF74" s="59" t="str">
        <f t="shared" si="170"/>
        <v>NA</v>
      </c>
      <c r="CG74" s="59" t="str">
        <f t="shared" ca="1" si="171"/>
        <v>NA</v>
      </c>
      <c r="CH74" s="59" t="str">
        <f t="shared" ca="1" si="172"/>
        <v>NA</v>
      </c>
      <c r="CI74" s="59" t="str">
        <f t="shared" ca="1" si="173"/>
        <v>MAYOR A 45 DIAS</v>
      </c>
      <c r="CJ74" s="59" t="str">
        <f t="shared" ca="1" si="174"/>
        <v>MAYOR A 45 DIAS</v>
      </c>
      <c r="CK74" s="59" t="str">
        <f t="shared" ca="1" si="175"/>
        <v>MAYOR A 45 DIAS</v>
      </c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>
        <f t="shared" si="186"/>
        <v>0</v>
      </c>
      <c r="DH74" s="8">
        <f t="shared" si="187"/>
        <v>0</v>
      </c>
      <c r="DI74" s="8">
        <f t="shared" si="188"/>
        <v>0</v>
      </c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59" t="str">
        <f t="shared" si="189"/>
        <v>NA</v>
      </c>
      <c r="DU74" s="59" t="str">
        <f t="shared" si="190"/>
        <v>NA</v>
      </c>
      <c r="DV74" s="59" t="str">
        <f t="shared" si="191"/>
        <v>NA</v>
      </c>
      <c r="DW74" s="59" t="str">
        <f t="shared" si="192"/>
        <v>NA</v>
      </c>
      <c r="DX74" s="59" t="str">
        <f t="shared" si="193"/>
        <v>NA</v>
      </c>
      <c r="DY74" s="59" t="str">
        <f t="shared" si="194"/>
        <v>NA</v>
      </c>
      <c r="DZ74" s="59" t="str">
        <f t="shared" si="195"/>
        <v>NA</v>
      </c>
      <c r="EA74" s="59" t="str">
        <f t="shared" si="196"/>
        <v>NA</v>
      </c>
      <c r="EB74" s="59" t="str">
        <f t="shared" si="197"/>
        <v>NA</v>
      </c>
      <c r="EC74" s="59" t="str">
        <f t="shared" si="198"/>
        <v>NA</v>
      </c>
      <c r="ED74" s="59" t="str">
        <f t="shared" si="199"/>
        <v/>
      </c>
      <c r="EE74" s="59" t="str">
        <f t="shared" si="200"/>
        <v/>
      </c>
      <c r="EF74" s="59" t="str">
        <f t="shared" si="201"/>
        <v/>
      </c>
      <c r="EG74" s="59" t="str">
        <f t="shared" si="202"/>
        <v/>
      </c>
      <c r="EH74" s="59" t="str">
        <f t="shared" si="203"/>
        <v/>
      </c>
      <c r="EI74" s="59" t="str">
        <f t="shared" si="204"/>
        <v/>
      </c>
      <c r="EJ74" s="59" t="str">
        <f t="shared" si="205"/>
        <v/>
      </c>
      <c r="EK74" s="59" t="str">
        <f t="shared" si="206"/>
        <v/>
      </c>
      <c r="EL74" s="59" t="str">
        <f t="shared" si="207"/>
        <v/>
      </c>
      <c r="EM74" s="59" t="str">
        <f t="shared" si="208"/>
        <v/>
      </c>
      <c r="EN74" s="59" t="str">
        <f t="shared" si="209"/>
        <v/>
      </c>
      <c r="EO74" s="59" t="str">
        <f t="shared" si="210"/>
        <v/>
      </c>
      <c r="EP74" s="59" t="str">
        <f t="shared" si="211"/>
        <v/>
      </c>
      <c r="EQ74" s="59" t="str">
        <f t="shared" si="212"/>
        <v/>
      </c>
      <c r="ER74" s="59" t="str">
        <f t="shared" si="213"/>
        <v/>
      </c>
      <c r="ES74" s="59" t="str">
        <f t="shared" si="214"/>
        <v/>
      </c>
      <c r="ET74" s="59" t="str">
        <f t="shared" si="215"/>
        <v/>
      </c>
      <c r="EU74" s="59" t="str">
        <f t="shared" si="216"/>
        <v/>
      </c>
      <c r="EV74" s="59" t="str">
        <f t="shared" si="217"/>
        <v/>
      </c>
      <c r="EW74" s="59" t="str">
        <f t="shared" si="218"/>
        <v/>
      </c>
      <c r="EX74" s="56">
        <f t="shared" si="176"/>
        <v>1126000</v>
      </c>
    </row>
    <row r="75" spans="1:154" x14ac:dyDescent="0.25">
      <c r="A75" s="2">
        <f t="shared" si="219"/>
        <v>74</v>
      </c>
      <c r="B75" s="2" t="s">
        <v>6</v>
      </c>
      <c r="C75" s="2" t="str">
        <f t="shared" si="177"/>
        <v>020603</v>
      </c>
      <c r="D75" s="2">
        <v>2</v>
      </c>
      <c r="E75" s="2">
        <v>6</v>
      </c>
      <c r="F75" s="2">
        <v>3</v>
      </c>
      <c r="G75" s="11" t="s">
        <v>14</v>
      </c>
      <c r="H75" s="4"/>
      <c r="I75" s="42" t="s">
        <v>58</v>
      </c>
      <c r="J75" s="9">
        <v>80</v>
      </c>
      <c r="K75" s="5"/>
      <c r="L75" s="6" t="s">
        <v>306</v>
      </c>
      <c r="M75" s="23" t="s">
        <v>177</v>
      </c>
      <c r="N75" s="7">
        <f t="shared" si="220"/>
        <v>1126000</v>
      </c>
      <c r="O75" s="8">
        <v>113</v>
      </c>
      <c r="P75" s="25">
        <v>41182</v>
      </c>
      <c r="Q75" s="8" t="str">
        <f t="shared" si="178"/>
        <v>2DA-SEP</v>
      </c>
      <c r="R75" s="26">
        <v>0.2</v>
      </c>
      <c r="S75" s="41" t="s">
        <v>34</v>
      </c>
      <c r="T75" s="8" t="s">
        <v>353</v>
      </c>
      <c r="U75" s="8"/>
      <c r="V75" s="7">
        <v>563000</v>
      </c>
      <c r="W75" s="7">
        <f t="shared" si="231"/>
        <v>563000</v>
      </c>
      <c r="X75" s="7">
        <f t="shared" si="179"/>
        <v>0</v>
      </c>
      <c r="Y75" s="7">
        <v>0</v>
      </c>
      <c r="Z75" s="7">
        <f t="shared" si="180"/>
        <v>563000</v>
      </c>
      <c r="AA75" s="148" t="str">
        <f t="shared" si="181"/>
        <v>100%</v>
      </c>
      <c r="AB75" s="148">
        <f t="shared" si="182"/>
        <v>0</v>
      </c>
      <c r="AC75" s="25">
        <v>41106</v>
      </c>
      <c r="AD75" s="25">
        <v>41106</v>
      </c>
      <c r="AE75" s="25">
        <v>41106</v>
      </c>
      <c r="AF75" s="8"/>
      <c r="AG75" s="59" t="str">
        <f t="shared" ca="1" si="183"/>
        <v>NA</v>
      </c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59" t="str">
        <f t="shared" si="228"/>
        <v>NA</v>
      </c>
      <c r="AS75" s="59" t="str">
        <f t="shared" si="229"/>
        <v/>
      </c>
      <c r="AT75" s="59"/>
      <c r="AU75" s="59" t="str">
        <f t="shared" si="162"/>
        <v>ND</v>
      </c>
      <c r="AV75" s="66"/>
      <c r="AW75" s="66"/>
      <c r="AX75" s="66"/>
      <c r="AY75" s="66"/>
      <c r="AZ75" s="8"/>
      <c r="BA75" s="8" t="s">
        <v>37</v>
      </c>
      <c r="BB75" s="8"/>
      <c r="BC75" s="8"/>
      <c r="BD75" s="8"/>
      <c r="BE75" s="8"/>
      <c r="BF75" s="8"/>
      <c r="BG75" s="8"/>
      <c r="BH75" s="8"/>
      <c r="BI75" s="8"/>
      <c r="BJ75" s="8"/>
      <c r="BK75" s="59"/>
      <c r="BL75" s="59"/>
      <c r="BM75" s="59"/>
      <c r="BN75" s="164">
        <v>0.01</v>
      </c>
      <c r="BO75" s="165">
        <f t="shared" si="184"/>
        <v>3753.3333333333335</v>
      </c>
      <c r="BP75" s="165">
        <f t="shared" ref="BP75:BQ75" si="235">BO75</f>
        <v>3753.3333333333335</v>
      </c>
      <c r="BQ75" s="165">
        <f t="shared" si="235"/>
        <v>3753.3333333333335</v>
      </c>
      <c r="BR75" s="59"/>
      <c r="BS75" s="59"/>
      <c r="BT75" s="59"/>
      <c r="BU75" s="59"/>
      <c r="BV75" s="59" t="str">
        <f t="shared" si="223"/>
        <v>ND</v>
      </c>
      <c r="BW75" s="59" t="str">
        <f t="shared" si="224"/>
        <v>ND</v>
      </c>
      <c r="BX75" s="59" t="str">
        <f t="shared" si="225"/>
        <v>ND</v>
      </c>
      <c r="BY75" s="59" t="str">
        <f t="shared" si="226"/>
        <v>ND</v>
      </c>
      <c r="BZ75" s="59" t="str">
        <f t="shared" si="164"/>
        <v>NA</v>
      </c>
      <c r="CA75" s="59" t="str">
        <f t="shared" si="165"/>
        <v/>
      </c>
      <c r="CB75" s="59" t="str">
        <f t="shared" si="166"/>
        <v>NA</v>
      </c>
      <c r="CC75" s="59" t="str">
        <f t="shared" si="167"/>
        <v/>
      </c>
      <c r="CD75" s="59" t="str">
        <f t="shared" si="168"/>
        <v>NA</v>
      </c>
      <c r="CE75" s="59" t="str">
        <f t="shared" si="169"/>
        <v/>
      </c>
      <c r="CF75" s="59" t="str">
        <f t="shared" si="170"/>
        <v>NA</v>
      </c>
      <c r="CG75" s="59" t="str">
        <f t="shared" ca="1" si="171"/>
        <v>NA</v>
      </c>
      <c r="CH75" s="59" t="str">
        <f t="shared" ca="1" si="172"/>
        <v>NA</v>
      </c>
      <c r="CI75" s="59" t="str">
        <f t="shared" ca="1" si="173"/>
        <v>DE 16 A 20 DIAS</v>
      </c>
      <c r="CJ75" s="59" t="str">
        <f t="shared" ca="1" si="174"/>
        <v>DE 16 A 20 DIAS</v>
      </c>
      <c r="CK75" s="59" t="str">
        <f t="shared" ca="1" si="175"/>
        <v>DE 16 A 20 DIAS</v>
      </c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>
        <f t="shared" si="186"/>
        <v>0</v>
      </c>
      <c r="DH75" s="8">
        <f t="shared" si="187"/>
        <v>0</v>
      </c>
      <c r="DI75" s="8">
        <f t="shared" si="188"/>
        <v>0</v>
      </c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59" t="str">
        <f t="shared" si="189"/>
        <v>NA</v>
      </c>
      <c r="DU75" s="59" t="str">
        <f t="shared" si="190"/>
        <v>NA</v>
      </c>
      <c r="DV75" s="59" t="str">
        <f t="shared" si="191"/>
        <v>NA</v>
      </c>
      <c r="DW75" s="59" t="str">
        <f t="shared" si="192"/>
        <v>NA</v>
      </c>
      <c r="DX75" s="59" t="str">
        <f t="shared" si="193"/>
        <v>NA</v>
      </c>
      <c r="DY75" s="59" t="str">
        <f t="shared" si="194"/>
        <v>NA</v>
      </c>
      <c r="DZ75" s="59" t="str">
        <f t="shared" si="195"/>
        <v>NA</v>
      </c>
      <c r="EA75" s="59" t="str">
        <f t="shared" si="196"/>
        <v>NA</v>
      </c>
      <c r="EB75" s="59" t="str">
        <f t="shared" si="197"/>
        <v>NA</v>
      </c>
      <c r="EC75" s="59" t="str">
        <f t="shared" si="198"/>
        <v>NA</v>
      </c>
      <c r="ED75" s="59" t="str">
        <f t="shared" si="199"/>
        <v/>
      </c>
      <c r="EE75" s="59" t="str">
        <f t="shared" si="200"/>
        <v/>
      </c>
      <c r="EF75" s="59" t="str">
        <f t="shared" si="201"/>
        <v/>
      </c>
      <c r="EG75" s="59" t="str">
        <f t="shared" si="202"/>
        <v/>
      </c>
      <c r="EH75" s="59" t="str">
        <f t="shared" si="203"/>
        <v/>
      </c>
      <c r="EI75" s="59" t="str">
        <f t="shared" si="204"/>
        <v/>
      </c>
      <c r="EJ75" s="59" t="str">
        <f t="shared" si="205"/>
        <v/>
      </c>
      <c r="EK75" s="59" t="str">
        <f t="shared" si="206"/>
        <v/>
      </c>
      <c r="EL75" s="59" t="str">
        <f t="shared" si="207"/>
        <v/>
      </c>
      <c r="EM75" s="59" t="str">
        <f t="shared" si="208"/>
        <v/>
      </c>
      <c r="EN75" s="59" t="str">
        <f t="shared" si="209"/>
        <v/>
      </c>
      <c r="EO75" s="59" t="str">
        <f t="shared" si="210"/>
        <v/>
      </c>
      <c r="EP75" s="59" t="str">
        <f t="shared" si="211"/>
        <v/>
      </c>
      <c r="EQ75" s="59" t="str">
        <f t="shared" si="212"/>
        <v/>
      </c>
      <c r="ER75" s="59" t="str">
        <f t="shared" si="213"/>
        <v/>
      </c>
      <c r="ES75" s="59" t="str">
        <f t="shared" si="214"/>
        <v/>
      </c>
      <c r="ET75" s="59" t="str">
        <f t="shared" si="215"/>
        <v/>
      </c>
      <c r="EU75" s="59" t="str">
        <f t="shared" si="216"/>
        <v/>
      </c>
      <c r="EV75" s="59" t="str">
        <f t="shared" si="217"/>
        <v/>
      </c>
      <c r="EW75" s="59" t="str">
        <f t="shared" si="218"/>
        <v/>
      </c>
      <c r="EX75" s="56">
        <f t="shared" si="176"/>
        <v>1126000</v>
      </c>
    </row>
    <row r="76" spans="1:154" x14ac:dyDescent="0.25">
      <c r="A76" s="2">
        <f t="shared" si="219"/>
        <v>75</v>
      </c>
      <c r="B76" s="2" t="s">
        <v>6</v>
      </c>
      <c r="C76" s="2" t="str">
        <f t="shared" si="177"/>
        <v>020604</v>
      </c>
      <c r="D76" s="2">
        <v>2</v>
      </c>
      <c r="E76" s="2">
        <v>6</v>
      </c>
      <c r="F76" s="2">
        <v>4</v>
      </c>
      <c r="G76" s="11" t="s">
        <v>14</v>
      </c>
      <c r="H76" s="4"/>
      <c r="I76" s="42" t="s">
        <v>58</v>
      </c>
      <c r="J76" s="9">
        <v>80</v>
      </c>
      <c r="K76" s="9"/>
      <c r="L76" s="10" t="s">
        <v>8</v>
      </c>
      <c r="M76" s="23" t="s">
        <v>177</v>
      </c>
      <c r="N76" s="7">
        <f t="shared" si="220"/>
        <v>1135000</v>
      </c>
      <c r="O76" s="8">
        <v>114</v>
      </c>
      <c r="P76" s="25">
        <v>41182</v>
      </c>
      <c r="Q76" s="8" t="str">
        <f t="shared" si="178"/>
        <v>2DA-SEP</v>
      </c>
      <c r="R76" s="26">
        <v>0.2</v>
      </c>
      <c r="S76" s="41" t="s">
        <v>34</v>
      </c>
      <c r="T76" s="8" t="s">
        <v>353</v>
      </c>
      <c r="U76" s="8"/>
      <c r="V76" s="7">
        <v>567500</v>
      </c>
      <c r="W76" s="7">
        <f t="shared" si="231"/>
        <v>567500</v>
      </c>
      <c r="X76" s="7">
        <f t="shared" si="179"/>
        <v>0</v>
      </c>
      <c r="Y76" s="7">
        <v>0</v>
      </c>
      <c r="Z76" s="7">
        <f t="shared" si="180"/>
        <v>567500</v>
      </c>
      <c r="AA76" s="148" t="str">
        <f t="shared" si="181"/>
        <v>100%</v>
      </c>
      <c r="AB76" s="148">
        <f t="shared" si="182"/>
        <v>0</v>
      </c>
      <c r="AC76" s="25">
        <v>41090</v>
      </c>
      <c r="AD76" s="25">
        <v>41090</v>
      </c>
      <c r="AE76" s="25">
        <v>41090</v>
      </c>
      <c r="AF76" s="8"/>
      <c r="AG76" s="59" t="str">
        <f t="shared" ca="1" si="183"/>
        <v>NA</v>
      </c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59" t="str">
        <f t="shared" si="228"/>
        <v>NA</v>
      </c>
      <c r="AS76" s="59" t="str">
        <f t="shared" si="229"/>
        <v/>
      </c>
      <c r="AT76" s="59"/>
      <c r="AU76" s="59" t="str">
        <f t="shared" si="162"/>
        <v>ND</v>
      </c>
      <c r="AV76" s="66"/>
      <c r="AW76" s="66"/>
      <c r="AX76" s="66"/>
      <c r="AY76" s="66"/>
      <c r="AZ76" s="8"/>
      <c r="BA76" s="8" t="s">
        <v>37</v>
      </c>
      <c r="BB76" s="8"/>
      <c r="BC76" s="8"/>
      <c r="BD76" s="8"/>
      <c r="BE76" s="8"/>
      <c r="BF76" s="8"/>
      <c r="BG76" s="8"/>
      <c r="BH76" s="8"/>
      <c r="BI76" s="8"/>
      <c r="BJ76" s="8"/>
      <c r="BK76" s="59"/>
      <c r="BL76" s="59"/>
      <c r="BM76" s="59"/>
      <c r="BN76" s="164">
        <v>0.01</v>
      </c>
      <c r="BO76" s="165">
        <f t="shared" si="184"/>
        <v>3783.3333333333335</v>
      </c>
      <c r="BP76" s="165">
        <f t="shared" ref="BP76:BQ76" si="236">BO76</f>
        <v>3783.3333333333335</v>
      </c>
      <c r="BQ76" s="165">
        <f t="shared" si="236"/>
        <v>3783.3333333333335</v>
      </c>
      <c r="BR76" s="59"/>
      <c r="BS76" s="59"/>
      <c r="BT76" s="59"/>
      <c r="BU76" s="59"/>
      <c r="BV76" s="59" t="str">
        <f t="shared" si="223"/>
        <v>ND</v>
      </c>
      <c r="BW76" s="59" t="str">
        <f t="shared" si="224"/>
        <v>ND</v>
      </c>
      <c r="BX76" s="59" t="str">
        <f t="shared" si="225"/>
        <v>ND</v>
      </c>
      <c r="BY76" s="59" t="str">
        <f t="shared" si="226"/>
        <v>ND</v>
      </c>
      <c r="BZ76" s="59" t="str">
        <f t="shared" si="164"/>
        <v>NA</v>
      </c>
      <c r="CA76" s="59" t="str">
        <f t="shared" si="165"/>
        <v/>
      </c>
      <c r="CB76" s="59" t="str">
        <f t="shared" si="166"/>
        <v>NA</v>
      </c>
      <c r="CC76" s="59" t="str">
        <f t="shared" si="167"/>
        <v/>
      </c>
      <c r="CD76" s="59" t="str">
        <f t="shared" si="168"/>
        <v>NA</v>
      </c>
      <c r="CE76" s="59" t="str">
        <f t="shared" si="169"/>
        <v/>
      </c>
      <c r="CF76" s="59" t="str">
        <f t="shared" si="170"/>
        <v>NA</v>
      </c>
      <c r="CG76" s="59" t="str">
        <f t="shared" ca="1" si="171"/>
        <v>NA</v>
      </c>
      <c r="CH76" s="59" t="str">
        <f t="shared" ca="1" si="172"/>
        <v>NA</v>
      </c>
      <c r="CI76" s="59" t="str">
        <f t="shared" ca="1" si="173"/>
        <v>DE 31 A 35 DIAS</v>
      </c>
      <c r="CJ76" s="59" t="str">
        <f t="shared" ca="1" si="174"/>
        <v>DE 31 A 35 DIAS</v>
      </c>
      <c r="CK76" s="59" t="str">
        <f t="shared" ca="1" si="175"/>
        <v>DE 31 A 35 DIAS</v>
      </c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>
        <f t="shared" si="186"/>
        <v>0</v>
      </c>
      <c r="DH76" s="8">
        <f t="shared" si="187"/>
        <v>0</v>
      </c>
      <c r="DI76" s="8">
        <f t="shared" si="188"/>
        <v>0</v>
      </c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59" t="str">
        <f t="shared" si="189"/>
        <v>NA</v>
      </c>
      <c r="DU76" s="59" t="str">
        <f t="shared" si="190"/>
        <v>NA</v>
      </c>
      <c r="DV76" s="59" t="str">
        <f t="shared" si="191"/>
        <v>NA</v>
      </c>
      <c r="DW76" s="59" t="str">
        <f t="shared" si="192"/>
        <v>NA</v>
      </c>
      <c r="DX76" s="59" t="str">
        <f t="shared" si="193"/>
        <v>NA</v>
      </c>
      <c r="DY76" s="59" t="str">
        <f t="shared" si="194"/>
        <v>NA</v>
      </c>
      <c r="DZ76" s="59" t="str">
        <f t="shared" si="195"/>
        <v>NA</v>
      </c>
      <c r="EA76" s="59" t="str">
        <f t="shared" si="196"/>
        <v>NA</v>
      </c>
      <c r="EB76" s="59" t="str">
        <f t="shared" si="197"/>
        <v>NA</v>
      </c>
      <c r="EC76" s="59" t="str">
        <f t="shared" si="198"/>
        <v>NA</v>
      </c>
      <c r="ED76" s="59" t="str">
        <f t="shared" si="199"/>
        <v/>
      </c>
      <c r="EE76" s="59" t="str">
        <f t="shared" si="200"/>
        <v/>
      </c>
      <c r="EF76" s="59" t="str">
        <f t="shared" si="201"/>
        <v/>
      </c>
      <c r="EG76" s="59" t="str">
        <f t="shared" si="202"/>
        <v/>
      </c>
      <c r="EH76" s="59" t="str">
        <f t="shared" si="203"/>
        <v/>
      </c>
      <c r="EI76" s="59" t="str">
        <f t="shared" si="204"/>
        <v/>
      </c>
      <c r="EJ76" s="59" t="str">
        <f t="shared" si="205"/>
        <v/>
      </c>
      <c r="EK76" s="59" t="str">
        <f t="shared" si="206"/>
        <v/>
      </c>
      <c r="EL76" s="59" t="str">
        <f t="shared" si="207"/>
        <v/>
      </c>
      <c r="EM76" s="59" t="str">
        <f t="shared" si="208"/>
        <v/>
      </c>
      <c r="EN76" s="59" t="str">
        <f t="shared" si="209"/>
        <v/>
      </c>
      <c r="EO76" s="59" t="str">
        <f t="shared" si="210"/>
        <v/>
      </c>
      <c r="EP76" s="59" t="str">
        <f t="shared" si="211"/>
        <v/>
      </c>
      <c r="EQ76" s="59" t="str">
        <f t="shared" si="212"/>
        <v/>
      </c>
      <c r="ER76" s="59" t="str">
        <f t="shared" si="213"/>
        <v/>
      </c>
      <c r="ES76" s="59" t="str">
        <f t="shared" si="214"/>
        <v/>
      </c>
      <c r="ET76" s="59" t="str">
        <f t="shared" si="215"/>
        <v/>
      </c>
      <c r="EU76" s="59" t="str">
        <f t="shared" si="216"/>
        <v/>
      </c>
      <c r="EV76" s="59" t="str">
        <f t="shared" si="217"/>
        <v/>
      </c>
      <c r="EW76" s="59" t="str">
        <f t="shared" si="218"/>
        <v/>
      </c>
      <c r="EX76" s="56">
        <f t="shared" si="176"/>
        <v>1135000</v>
      </c>
    </row>
    <row r="77" spans="1:154" x14ac:dyDescent="0.25">
      <c r="A77" s="2">
        <f t="shared" si="219"/>
        <v>76</v>
      </c>
      <c r="B77" s="2" t="s">
        <v>6</v>
      </c>
      <c r="C77" s="2" t="str">
        <f t="shared" si="177"/>
        <v>020605</v>
      </c>
      <c r="D77" s="2">
        <v>2</v>
      </c>
      <c r="E77" s="2">
        <v>6</v>
      </c>
      <c r="F77" s="2">
        <v>5</v>
      </c>
      <c r="G77" s="11" t="s">
        <v>14</v>
      </c>
      <c r="H77" s="4"/>
      <c r="I77" s="42" t="s">
        <v>58</v>
      </c>
      <c r="J77" s="9">
        <v>80</v>
      </c>
      <c r="K77" s="5"/>
      <c r="L77" s="6" t="s">
        <v>306</v>
      </c>
      <c r="M77" s="23" t="s">
        <v>177</v>
      </c>
      <c r="N77" s="7">
        <f t="shared" si="220"/>
        <v>1126000</v>
      </c>
      <c r="O77" s="8">
        <v>115</v>
      </c>
      <c r="P77" s="25">
        <v>41182</v>
      </c>
      <c r="Q77" s="8" t="str">
        <f t="shared" si="178"/>
        <v>2DA-SEP</v>
      </c>
      <c r="R77" s="26">
        <v>0.2</v>
      </c>
      <c r="S77" s="41" t="s">
        <v>34</v>
      </c>
      <c r="T77" s="8" t="s">
        <v>353</v>
      </c>
      <c r="U77" s="8"/>
      <c r="V77" s="7">
        <v>563000</v>
      </c>
      <c r="W77" s="7">
        <f t="shared" si="231"/>
        <v>563000</v>
      </c>
      <c r="X77" s="7">
        <f t="shared" si="179"/>
        <v>0</v>
      </c>
      <c r="Y77" s="7">
        <v>0</v>
      </c>
      <c r="Z77" s="7">
        <f t="shared" si="180"/>
        <v>563000</v>
      </c>
      <c r="AA77" s="148" t="str">
        <f t="shared" si="181"/>
        <v>100%</v>
      </c>
      <c r="AB77" s="148">
        <f t="shared" si="182"/>
        <v>0</v>
      </c>
      <c r="AC77" s="25">
        <v>41075</v>
      </c>
      <c r="AD77" s="25">
        <v>41075</v>
      </c>
      <c r="AE77" s="25">
        <v>41075</v>
      </c>
      <c r="AF77" s="8"/>
      <c r="AG77" s="59" t="str">
        <f t="shared" ca="1" si="183"/>
        <v>NA</v>
      </c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59" t="str">
        <f t="shared" si="228"/>
        <v>NA</v>
      </c>
      <c r="AS77" s="59" t="str">
        <f t="shared" si="229"/>
        <v/>
      </c>
      <c r="AT77" s="59"/>
      <c r="AU77" s="59" t="str">
        <f t="shared" si="162"/>
        <v>ND</v>
      </c>
      <c r="AV77" s="66"/>
      <c r="AW77" s="66"/>
      <c r="AX77" s="66"/>
      <c r="AY77" s="66"/>
      <c r="AZ77" s="8"/>
      <c r="BA77" s="8" t="s">
        <v>37</v>
      </c>
      <c r="BB77" s="8"/>
      <c r="BC77" s="8"/>
      <c r="BD77" s="8"/>
      <c r="BE77" s="8"/>
      <c r="BF77" s="8"/>
      <c r="BG77" s="8"/>
      <c r="BH77" s="8"/>
      <c r="BI77" s="8"/>
      <c r="BJ77" s="8"/>
      <c r="BK77" s="59"/>
      <c r="BL77" s="59"/>
      <c r="BM77" s="59"/>
      <c r="BN77" s="164">
        <v>0.01</v>
      </c>
      <c r="BO77" s="165">
        <f t="shared" si="184"/>
        <v>3753.3333333333335</v>
      </c>
      <c r="BP77" s="165">
        <f t="shared" ref="BP77:BQ77" si="237">BO77</f>
        <v>3753.3333333333335</v>
      </c>
      <c r="BQ77" s="165">
        <f t="shared" si="237"/>
        <v>3753.3333333333335</v>
      </c>
      <c r="BR77" s="59"/>
      <c r="BS77" s="59"/>
      <c r="BT77" s="59"/>
      <c r="BU77" s="59"/>
      <c r="BV77" s="59" t="str">
        <f t="shared" si="223"/>
        <v>ND</v>
      </c>
      <c r="BW77" s="59" t="str">
        <f t="shared" si="224"/>
        <v>ND</v>
      </c>
      <c r="BX77" s="59" t="str">
        <f t="shared" si="225"/>
        <v>ND</v>
      </c>
      <c r="BY77" s="59" t="str">
        <f t="shared" si="226"/>
        <v>ND</v>
      </c>
      <c r="BZ77" s="59" t="str">
        <f t="shared" si="164"/>
        <v>NA</v>
      </c>
      <c r="CA77" s="59" t="str">
        <f t="shared" si="165"/>
        <v/>
      </c>
      <c r="CB77" s="59" t="str">
        <f t="shared" si="166"/>
        <v>NA</v>
      </c>
      <c r="CC77" s="59" t="str">
        <f t="shared" si="167"/>
        <v/>
      </c>
      <c r="CD77" s="59" t="str">
        <f t="shared" si="168"/>
        <v>NA</v>
      </c>
      <c r="CE77" s="59" t="str">
        <f t="shared" si="169"/>
        <v/>
      </c>
      <c r="CF77" s="59" t="str">
        <f t="shared" si="170"/>
        <v>NA</v>
      </c>
      <c r="CG77" s="59" t="str">
        <f t="shared" ca="1" si="171"/>
        <v>NA</v>
      </c>
      <c r="CH77" s="59" t="str">
        <f t="shared" ca="1" si="172"/>
        <v>NA</v>
      </c>
      <c r="CI77" s="59" t="str">
        <f t="shared" ca="1" si="173"/>
        <v>MAYOR A 45 DIAS</v>
      </c>
      <c r="CJ77" s="59" t="str">
        <f t="shared" ca="1" si="174"/>
        <v>MAYOR A 45 DIAS</v>
      </c>
      <c r="CK77" s="59" t="str">
        <f t="shared" ca="1" si="175"/>
        <v>MAYOR A 45 DIAS</v>
      </c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>
        <f t="shared" si="186"/>
        <v>0</v>
      </c>
      <c r="DH77" s="8">
        <f t="shared" si="187"/>
        <v>0</v>
      </c>
      <c r="DI77" s="8">
        <f t="shared" si="188"/>
        <v>0</v>
      </c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59" t="str">
        <f t="shared" si="189"/>
        <v>NA</v>
      </c>
      <c r="DU77" s="59" t="str">
        <f t="shared" si="190"/>
        <v>NA</v>
      </c>
      <c r="DV77" s="59" t="str">
        <f t="shared" si="191"/>
        <v>NA</v>
      </c>
      <c r="DW77" s="59" t="str">
        <f t="shared" si="192"/>
        <v>NA</v>
      </c>
      <c r="DX77" s="59" t="str">
        <f t="shared" si="193"/>
        <v>NA</v>
      </c>
      <c r="DY77" s="59" t="str">
        <f t="shared" si="194"/>
        <v>NA</v>
      </c>
      <c r="DZ77" s="59" t="str">
        <f t="shared" si="195"/>
        <v>NA</v>
      </c>
      <c r="EA77" s="59" t="str">
        <f t="shared" si="196"/>
        <v>NA</v>
      </c>
      <c r="EB77" s="59" t="str">
        <f t="shared" si="197"/>
        <v>NA</v>
      </c>
      <c r="EC77" s="59" t="str">
        <f t="shared" si="198"/>
        <v>NA</v>
      </c>
      <c r="ED77" s="59" t="str">
        <f t="shared" si="199"/>
        <v/>
      </c>
      <c r="EE77" s="59" t="str">
        <f t="shared" si="200"/>
        <v/>
      </c>
      <c r="EF77" s="59" t="str">
        <f t="shared" si="201"/>
        <v/>
      </c>
      <c r="EG77" s="59" t="str">
        <f t="shared" si="202"/>
        <v/>
      </c>
      <c r="EH77" s="59" t="str">
        <f t="shared" si="203"/>
        <v/>
      </c>
      <c r="EI77" s="59" t="str">
        <f t="shared" si="204"/>
        <v/>
      </c>
      <c r="EJ77" s="59" t="str">
        <f t="shared" si="205"/>
        <v/>
      </c>
      <c r="EK77" s="59" t="str">
        <f t="shared" si="206"/>
        <v/>
      </c>
      <c r="EL77" s="59" t="str">
        <f t="shared" si="207"/>
        <v/>
      </c>
      <c r="EM77" s="59" t="str">
        <f t="shared" si="208"/>
        <v/>
      </c>
      <c r="EN77" s="59" t="str">
        <f t="shared" si="209"/>
        <v/>
      </c>
      <c r="EO77" s="59" t="str">
        <f t="shared" si="210"/>
        <v/>
      </c>
      <c r="EP77" s="59" t="str">
        <f t="shared" si="211"/>
        <v/>
      </c>
      <c r="EQ77" s="59" t="str">
        <f t="shared" si="212"/>
        <v/>
      </c>
      <c r="ER77" s="59" t="str">
        <f t="shared" si="213"/>
        <v/>
      </c>
      <c r="ES77" s="59" t="str">
        <f t="shared" si="214"/>
        <v/>
      </c>
      <c r="ET77" s="59" t="str">
        <f t="shared" si="215"/>
        <v/>
      </c>
      <c r="EU77" s="59" t="str">
        <f t="shared" si="216"/>
        <v/>
      </c>
      <c r="EV77" s="59" t="str">
        <f t="shared" si="217"/>
        <v/>
      </c>
      <c r="EW77" s="59" t="str">
        <f t="shared" si="218"/>
        <v/>
      </c>
      <c r="EX77" s="56">
        <f t="shared" si="176"/>
        <v>1126000</v>
      </c>
    </row>
    <row r="78" spans="1:154" x14ac:dyDescent="0.25">
      <c r="A78" s="2">
        <f t="shared" si="219"/>
        <v>77</v>
      </c>
      <c r="B78" s="2" t="s">
        <v>6</v>
      </c>
      <c r="C78" s="2" t="str">
        <f t="shared" si="177"/>
        <v>020606</v>
      </c>
      <c r="D78" s="13">
        <v>2</v>
      </c>
      <c r="E78" s="13">
        <v>6</v>
      </c>
      <c r="F78" s="13">
        <v>6</v>
      </c>
      <c r="G78" s="11" t="s">
        <v>14</v>
      </c>
      <c r="H78" s="4"/>
      <c r="I78" s="42" t="s">
        <v>58</v>
      </c>
      <c r="J78" s="9">
        <v>80</v>
      </c>
      <c r="K78" s="5"/>
      <c r="L78" s="6" t="s">
        <v>306</v>
      </c>
      <c r="M78" s="23" t="s">
        <v>177</v>
      </c>
      <c r="N78" s="7">
        <f t="shared" si="220"/>
        <v>1126000</v>
      </c>
      <c r="O78" s="8">
        <v>116</v>
      </c>
      <c r="P78" s="25">
        <v>41182</v>
      </c>
      <c r="Q78" s="8" t="str">
        <f t="shared" si="178"/>
        <v>2DA-SEP</v>
      </c>
      <c r="R78" s="26">
        <v>0.2</v>
      </c>
      <c r="S78" s="41" t="s">
        <v>34</v>
      </c>
      <c r="T78" s="8" t="s">
        <v>353</v>
      </c>
      <c r="U78" s="8"/>
      <c r="V78" s="7">
        <v>563000</v>
      </c>
      <c r="W78" s="7">
        <f t="shared" si="231"/>
        <v>563000</v>
      </c>
      <c r="X78" s="7">
        <f t="shared" si="179"/>
        <v>0</v>
      </c>
      <c r="Y78" s="7">
        <v>0</v>
      </c>
      <c r="Z78" s="7">
        <f t="shared" si="180"/>
        <v>563000</v>
      </c>
      <c r="AA78" s="148" t="str">
        <f t="shared" si="181"/>
        <v>100%</v>
      </c>
      <c r="AB78" s="148">
        <f t="shared" si="182"/>
        <v>0</v>
      </c>
      <c r="AC78" s="25">
        <v>41061</v>
      </c>
      <c r="AD78" s="25">
        <v>41061</v>
      </c>
      <c r="AE78" s="25">
        <v>41061</v>
      </c>
      <c r="AF78" s="8"/>
      <c r="AG78" s="59" t="str">
        <f t="shared" ca="1" si="183"/>
        <v>NA</v>
      </c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59" t="str">
        <f t="shared" si="228"/>
        <v>NA</v>
      </c>
      <c r="AS78" s="59" t="str">
        <f t="shared" si="229"/>
        <v/>
      </c>
      <c r="AT78" s="59"/>
      <c r="AU78" s="59" t="str">
        <f t="shared" si="162"/>
        <v>ND</v>
      </c>
      <c r="AV78" s="66"/>
      <c r="AW78" s="66"/>
      <c r="AX78" s="66"/>
      <c r="AY78" s="66"/>
      <c r="AZ78" s="8"/>
      <c r="BA78" s="8" t="s">
        <v>37</v>
      </c>
      <c r="BB78" s="8"/>
      <c r="BC78" s="8"/>
      <c r="BD78" s="8"/>
      <c r="BE78" s="8"/>
      <c r="BF78" s="8"/>
      <c r="BG78" s="8"/>
      <c r="BH78" s="8"/>
      <c r="BI78" s="8"/>
      <c r="BJ78" s="8"/>
      <c r="BK78" s="59"/>
      <c r="BL78" s="59"/>
      <c r="BM78" s="59"/>
      <c r="BN78" s="164">
        <v>0.01</v>
      </c>
      <c r="BO78" s="165">
        <f t="shared" si="184"/>
        <v>3753.3333333333335</v>
      </c>
      <c r="BP78" s="165">
        <f t="shared" ref="BP78:BQ78" si="238">BO78</f>
        <v>3753.3333333333335</v>
      </c>
      <c r="BQ78" s="165">
        <f t="shared" si="238"/>
        <v>3753.3333333333335</v>
      </c>
      <c r="BR78" s="59"/>
      <c r="BS78" s="59"/>
      <c r="BT78" s="59"/>
      <c r="BU78" s="59"/>
      <c r="BV78" s="59" t="str">
        <f t="shared" si="223"/>
        <v>ND</v>
      </c>
      <c r="BW78" s="59" t="str">
        <f t="shared" si="224"/>
        <v>ND</v>
      </c>
      <c r="BX78" s="59" t="str">
        <f t="shared" si="225"/>
        <v>ND</v>
      </c>
      <c r="BY78" s="59" t="str">
        <f t="shared" si="226"/>
        <v>ND</v>
      </c>
      <c r="BZ78" s="59" t="str">
        <f t="shared" si="164"/>
        <v>NA</v>
      </c>
      <c r="CA78" s="59" t="str">
        <f t="shared" si="165"/>
        <v/>
      </c>
      <c r="CB78" s="59" t="str">
        <f t="shared" si="166"/>
        <v>NA</v>
      </c>
      <c r="CC78" s="59" t="str">
        <f t="shared" si="167"/>
        <v/>
      </c>
      <c r="CD78" s="59" t="str">
        <f t="shared" si="168"/>
        <v>NA</v>
      </c>
      <c r="CE78" s="59" t="str">
        <f t="shared" si="169"/>
        <v/>
      </c>
      <c r="CF78" s="59" t="str">
        <f t="shared" si="170"/>
        <v>NA</v>
      </c>
      <c r="CG78" s="59" t="str">
        <f t="shared" ca="1" si="171"/>
        <v>NA</v>
      </c>
      <c r="CH78" s="59" t="str">
        <f t="shared" ca="1" si="172"/>
        <v>NA</v>
      </c>
      <c r="CI78" s="59" t="str">
        <f t="shared" ca="1" si="173"/>
        <v>MAYOR A 45 DIAS</v>
      </c>
      <c r="CJ78" s="59" t="str">
        <f t="shared" ca="1" si="174"/>
        <v>MAYOR A 45 DIAS</v>
      </c>
      <c r="CK78" s="59" t="str">
        <f t="shared" ca="1" si="175"/>
        <v>MAYOR A 45 DIAS</v>
      </c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>
        <f t="shared" si="186"/>
        <v>0</v>
      </c>
      <c r="DH78" s="8">
        <f t="shared" si="187"/>
        <v>0</v>
      </c>
      <c r="DI78" s="8">
        <f t="shared" si="188"/>
        <v>0</v>
      </c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59" t="str">
        <f t="shared" si="189"/>
        <v>NA</v>
      </c>
      <c r="DU78" s="59" t="str">
        <f t="shared" si="190"/>
        <v>NA</v>
      </c>
      <c r="DV78" s="59" t="str">
        <f t="shared" si="191"/>
        <v>NA</v>
      </c>
      <c r="DW78" s="59" t="str">
        <f t="shared" si="192"/>
        <v>NA</v>
      </c>
      <c r="DX78" s="59" t="str">
        <f t="shared" si="193"/>
        <v>NA</v>
      </c>
      <c r="DY78" s="59" t="str">
        <f t="shared" si="194"/>
        <v>NA</v>
      </c>
      <c r="DZ78" s="59" t="str">
        <f t="shared" si="195"/>
        <v>NA</v>
      </c>
      <c r="EA78" s="59" t="str">
        <f t="shared" si="196"/>
        <v>NA</v>
      </c>
      <c r="EB78" s="59" t="str">
        <f t="shared" si="197"/>
        <v>NA</v>
      </c>
      <c r="EC78" s="59" t="str">
        <f t="shared" si="198"/>
        <v>NA</v>
      </c>
      <c r="ED78" s="59" t="str">
        <f t="shared" si="199"/>
        <v/>
      </c>
      <c r="EE78" s="59" t="str">
        <f t="shared" si="200"/>
        <v/>
      </c>
      <c r="EF78" s="59" t="str">
        <f t="shared" si="201"/>
        <v/>
      </c>
      <c r="EG78" s="59" t="str">
        <f t="shared" si="202"/>
        <v/>
      </c>
      <c r="EH78" s="59" t="str">
        <f t="shared" si="203"/>
        <v/>
      </c>
      <c r="EI78" s="59" t="str">
        <f t="shared" si="204"/>
        <v/>
      </c>
      <c r="EJ78" s="59" t="str">
        <f t="shared" si="205"/>
        <v/>
      </c>
      <c r="EK78" s="59" t="str">
        <f t="shared" si="206"/>
        <v/>
      </c>
      <c r="EL78" s="59" t="str">
        <f t="shared" si="207"/>
        <v/>
      </c>
      <c r="EM78" s="59" t="str">
        <f t="shared" si="208"/>
        <v/>
      </c>
      <c r="EN78" s="59" t="str">
        <f t="shared" si="209"/>
        <v/>
      </c>
      <c r="EO78" s="59" t="str">
        <f t="shared" si="210"/>
        <v/>
      </c>
      <c r="EP78" s="59" t="str">
        <f t="shared" si="211"/>
        <v/>
      </c>
      <c r="EQ78" s="59" t="str">
        <f t="shared" si="212"/>
        <v/>
      </c>
      <c r="ER78" s="59" t="str">
        <f t="shared" si="213"/>
        <v/>
      </c>
      <c r="ES78" s="59" t="str">
        <f t="shared" si="214"/>
        <v/>
      </c>
      <c r="ET78" s="59" t="str">
        <f t="shared" si="215"/>
        <v/>
      </c>
      <c r="EU78" s="59" t="str">
        <f t="shared" si="216"/>
        <v/>
      </c>
      <c r="EV78" s="59" t="str">
        <f t="shared" si="217"/>
        <v/>
      </c>
      <c r="EW78" s="59" t="str">
        <f t="shared" si="218"/>
        <v/>
      </c>
      <c r="EX78" s="56">
        <f t="shared" si="176"/>
        <v>1126000</v>
      </c>
    </row>
    <row r="79" spans="1:154" x14ac:dyDescent="0.25">
      <c r="A79" s="2">
        <f t="shared" si="219"/>
        <v>78</v>
      </c>
      <c r="B79" s="2" t="s">
        <v>6</v>
      </c>
      <c r="C79" s="2" t="str">
        <f t="shared" si="177"/>
        <v>020607</v>
      </c>
      <c r="D79" s="2">
        <v>2</v>
      </c>
      <c r="E79" s="2">
        <v>6</v>
      </c>
      <c r="F79" s="2">
        <v>7</v>
      </c>
      <c r="G79" s="11" t="s">
        <v>14</v>
      </c>
      <c r="H79" s="4"/>
      <c r="I79" s="42" t="s">
        <v>58</v>
      </c>
      <c r="J79" s="9">
        <v>80</v>
      </c>
      <c r="K79" s="9"/>
      <c r="L79" s="10" t="s">
        <v>8</v>
      </c>
      <c r="M79" s="23" t="s">
        <v>177</v>
      </c>
      <c r="N79" s="7">
        <f t="shared" si="220"/>
        <v>1135000</v>
      </c>
      <c r="O79" s="8">
        <v>117</v>
      </c>
      <c r="P79" s="25">
        <v>41182</v>
      </c>
      <c r="Q79" s="8" t="str">
        <f t="shared" si="178"/>
        <v>2DA-SEP</v>
      </c>
      <c r="R79" s="26">
        <v>0.2</v>
      </c>
      <c r="S79" s="41" t="s">
        <v>34</v>
      </c>
      <c r="T79" s="8" t="s">
        <v>353</v>
      </c>
      <c r="U79" s="8"/>
      <c r="V79" s="7">
        <v>567500</v>
      </c>
      <c r="W79" s="7">
        <f t="shared" si="231"/>
        <v>567500</v>
      </c>
      <c r="X79" s="7">
        <f t="shared" si="179"/>
        <v>0</v>
      </c>
      <c r="Y79" s="7">
        <v>0</v>
      </c>
      <c r="Z79" s="7">
        <f t="shared" si="180"/>
        <v>567500</v>
      </c>
      <c r="AA79" s="148" t="str">
        <f t="shared" si="181"/>
        <v>100%</v>
      </c>
      <c r="AB79" s="148">
        <f t="shared" si="182"/>
        <v>0</v>
      </c>
      <c r="AC79" s="25">
        <v>41067</v>
      </c>
      <c r="AD79" s="25">
        <v>41067</v>
      </c>
      <c r="AE79" s="25">
        <v>41067</v>
      </c>
      <c r="AF79" s="8"/>
      <c r="AG79" s="59" t="str">
        <f t="shared" ca="1" si="183"/>
        <v>NA</v>
      </c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59" t="str">
        <f t="shared" si="228"/>
        <v>NA</v>
      </c>
      <c r="AS79" s="59" t="str">
        <f t="shared" si="229"/>
        <v/>
      </c>
      <c r="AT79" s="59"/>
      <c r="AU79" s="59" t="str">
        <f t="shared" si="162"/>
        <v>ND</v>
      </c>
      <c r="AV79" s="66"/>
      <c r="AW79" s="66"/>
      <c r="AX79" s="66"/>
      <c r="AY79" s="66"/>
      <c r="AZ79" s="8"/>
      <c r="BA79" s="8" t="s">
        <v>37</v>
      </c>
      <c r="BB79" s="8"/>
      <c r="BC79" s="8"/>
      <c r="BD79" s="8"/>
      <c r="BE79" s="8"/>
      <c r="BF79" s="8"/>
      <c r="BG79" s="8"/>
      <c r="BH79" s="8"/>
      <c r="BI79" s="8"/>
      <c r="BJ79" s="8"/>
      <c r="BK79" s="59"/>
      <c r="BL79" s="59"/>
      <c r="BM79" s="59"/>
      <c r="BN79" s="164">
        <v>0.01</v>
      </c>
      <c r="BO79" s="165">
        <f t="shared" si="184"/>
        <v>3783.3333333333335</v>
      </c>
      <c r="BP79" s="165">
        <f t="shared" ref="BP79:BQ79" si="239">BO79</f>
        <v>3783.3333333333335</v>
      </c>
      <c r="BQ79" s="165">
        <f t="shared" si="239"/>
        <v>3783.3333333333335</v>
      </c>
      <c r="BR79" s="59"/>
      <c r="BS79" s="59"/>
      <c r="BT79" s="59"/>
      <c r="BU79" s="59"/>
      <c r="BV79" s="59" t="str">
        <f t="shared" si="223"/>
        <v>ND</v>
      </c>
      <c r="BW79" s="59" t="str">
        <f t="shared" si="224"/>
        <v>ND</v>
      </c>
      <c r="BX79" s="59" t="str">
        <f t="shared" si="225"/>
        <v>ND</v>
      </c>
      <c r="BY79" s="59" t="str">
        <f t="shared" si="226"/>
        <v>ND</v>
      </c>
      <c r="BZ79" s="59" t="str">
        <f t="shared" si="164"/>
        <v>NA</v>
      </c>
      <c r="CA79" s="59" t="str">
        <f t="shared" si="165"/>
        <v/>
      </c>
      <c r="CB79" s="59" t="str">
        <f t="shared" si="166"/>
        <v>NA</v>
      </c>
      <c r="CC79" s="59" t="str">
        <f t="shared" si="167"/>
        <v/>
      </c>
      <c r="CD79" s="59" t="str">
        <f t="shared" si="168"/>
        <v>NA</v>
      </c>
      <c r="CE79" s="59" t="str">
        <f t="shared" si="169"/>
        <v/>
      </c>
      <c r="CF79" s="59" t="str">
        <f t="shared" si="170"/>
        <v>NA</v>
      </c>
      <c r="CG79" s="59" t="str">
        <f t="shared" ca="1" si="171"/>
        <v>NA</v>
      </c>
      <c r="CH79" s="59" t="str">
        <f t="shared" ca="1" si="172"/>
        <v>NA</v>
      </c>
      <c r="CI79" s="59" t="str">
        <f t="shared" ca="1" si="173"/>
        <v>MAYOR A 45 DIAS</v>
      </c>
      <c r="CJ79" s="59" t="str">
        <f t="shared" ca="1" si="174"/>
        <v>MAYOR A 45 DIAS</v>
      </c>
      <c r="CK79" s="59" t="str">
        <f t="shared" ca="1" si="175"/>
        <v>MAYOR A 45 DIAS</v>
      </c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>
        <f t="shared" si="186"/>
        <v>0</v>
      </c>
      <c r="DH79" s="8">
        <f t="shared" si="187"/>
        <v>0</v>
      </c>
      <c r="DI79" s="8">
        <f t="shared" si="188"/>
        <v>0</v>
      </c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59" t="str">
        <f t="shared" si="189"/>
        <v>NA</v>
      </c>
      <c r="DU79" s="59" t="str">
        <f t="shared" si="190"/>
        <v>NA</v>
      </c>
      <c r="DV79" s="59" t="str">
        <f t="shared" si="191"/>
        <v>NA</v>
      </c>
      <c r="DW79" s="59" t="str">
        <f t="shared" si="192"/>
        <v>NA</v>
      </c>
      <c r="DX79" s="59" t="str">
        <f t="shared" si="193"/>
        <v>NA</v>
      </c>
      <c r="DY79" s="59" t="str">
        <f t="shared" si="194"/>
        <v>NA</v>
      </c>
      <c r="DZ79" s="59" t="str">
        <f t="shared" si="195"/>
        <v>NA</v>
      </c>
      <c r="EA79" s="59" t="str">
        <f t="shared" si="196"/>
        <v>NA</v>
      </c>
      <c r="EB79" s="59" t="str">
        <f t="shared" si="197"/>
        <v>NA</v>
      </c>
      <c r="EC79" s="59" t="str">
        <f t="shared" si="198"/>
        <v>NA</v>
      </c>
      <c r="ED79" s="59" t="str">
        <f t="shared" si="199"/>
        <v/>
      </c>
      <c r="EE79" s="59" t="str">
        <f t="shared" si="200"/>
        <v/>
      </c>
      <c r="EF79" s="59" t="str">
        <f t="shared" si="201"/>
        <v/>
      </c>
      <c r="EG79" s="59" t="str">
        <f t="shared" si="202"/>
        <v/>
      </c>
      <c r="EH79" s="59" t="str">
        <f t="shared" si="203"/>
        <v/>
      </c>
      <c r="EI79" s="59" t="str">
        <f t="shared" si="204"/>
        <v/>
      </c>
      <c r="EJ79" s="59" t="str">
        <f t="shared" si="205"/>
        <v/>
      </c>
      <c r="EK79" s="59" t="str">
        <f t="shared" si="206"/>
        <v/>
      </c>
      <c r="EL79" s="59" t="str">
        <f t="shared" si="207"/>
        <v/>
      </c>
      <c r="EM79" s="59" t="str">
        <f t="shared" si="208"/>
        <v/>
      </c>
      <c r="EN79" s="59" t="str">
        <f t="shared" si="209"/>
        <v/>
      </c>
      <c r="EO79" s="59" t="str">
        <f t="shared" si="210"/>
        <v/>
      </c>
      <c r="EP79" s="59" t="str">
        <f t="shared" si="211"/>
        <v/>
      </c>
      <c r="EQ79" s="59" t="str">
        <f t="shared" si="212"/>
        <v/>
      </c>
      <c r="ER79" s="59" t="str">
        <f t="shared" si="213"/>
        <v/>
      </c>
      <c r="ES79" s="59" t="str">
        <f t="shared" si="214"/>
        <v/>
      </c>
      <c r="ET79" s="59" t="str">
        <f t="shared" si="215"/>
        <v/>
      </c>
      <c r="EU79" s="59" t="str">
        <f t="shared" si="216"/>
        <v/>
      </c>
      <c r="EV79" s="59" t="str">
        <f t="shared" si="217"/>
        <v/>
      </c>
      <c r="EW79" s="59" t="str">
        <f t="shared" si="218"/>
        <v/>
      </c>
      <c r="EX79" s="56">
        <f t="shared" si="176"/>
        <v>1135000</v>
      </c>
    </row>
    <row r="80" spans="1:154" x14ac:dyDescent="0.25">
      <c r="A80" s="2">
        <f t="shared" si="219"/>
        <v>79</v>
      </c>
      <c r="B80" s="2" t="s">
        <v>6</v>
      </c>
      <c r="C80" s="2" t="str">
        <f t="shared" si="177"/>
        <v>020608</v>
      </c>
      <c r="D80" s="2">
        <v>2</v>
      </c>
      <c r="E80" s="2">
        <v>6</v>
      </c>
      <c r="F80" s="2">
        <v>8</v>
      </c>
      <c r="G80" s="11" t="s">
        <v>14</v>
      </c>
      <c r="H80" s="4"/>
      <c r="I80" s="42" t="s">
        <v>58</v>
      </c>
      <c r="J80" s="9">
        <v>80</v>
      </c>
      <c r="K80" s="5"/>
      <c r="L80" s="6" t="s">
        <v>306</v>
      </c>
      <c r="M80" s="23" t="s">
        <v>177</v>
      </c>
      <c r="N80" s="7">
        <f t="shared" si="220"/>
        <v>1126000</v>
      </c>
      <c r="O80" s="8">
        <v>118</v>
      </c>
      <c r="P80" s="25">
        <v>41182</v>
      </c>
      <c r="Q80" s="8" t="str">
        <f t="shared" si="178"/>
        <v>2DA-SEP</v>
      </c>
      <c r="R80" s="26">
        <v>0.2</v>
      </c>
      <c r="S80" s="41" t="s">
        <v>34</v>
      </c>
      <c r="T80" s="8" t="s">
        <v>353</v>
      </c>
      <c r="U80" s="8"/>
      <c r="V80" s="7">
        <v>563000</v>
      </c>
      <c r="W80" s="7">
        <f t="shared" si="231"/>
        <v>563000</v>
      </c>
      <c r="X80" s="7">
        <f t="shared" si="179"/>
        <v>0</v>
      </c>
      <c r="Y80" s="7">
        <v>0</v>
      </c>
      <c r="Z80" s="7">
        <f t="shared" si="180"/>
        <v>563000</v>
      </c>
      <c r="AA80" s="148" t="str">
        <f t="shared" si="181"/>
        <v>100%</v>
      </c>
      <c r="AB80" s="148">
        <f t="shared" si="182"/>
        <v>0</v>
      </c>
      <c r="AC80" s="25">
        <v>41070</v>
      </c>
      <c r="AD80" s="25">
        <v>41070</v>
      </c>
      <c r="AE80" s="25">
        <v>41070</v>
      </c>
      <c r="AF80" s="8"/>
      <c r="AG80" s="59" t="str">
        <f t="shared" ca="1" si="183"/>
        <v>NA</v>
      </c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59" t="str">
        <f t="shared" si="228"/>
        <v>NA</v>
      </c>
      <c r="AS80" s="59" t="str">
        <f t="shared" si="229"/>
        <v/>
      </c>
      <c r="AT80" s="59"/>
      <c r="AU80" s="59" t="str">
        <f t="shared" si="162"/>
        <v>ND</v>
      </c>
      <c r="AV80" s="66"/>
      <c r="AW80" s="66"/>
      <c r="AX80" s="66"/>
      <c r="AY80" s="66"/>
      <c r="AZ80" s="8"/>
      <c r="BA80" s="8" t="s">
        <v>37</v>
      </c>
      <c r="BB80" s="8"/>
      <c r="BC80" s="8"/>
      <c r="BD80" s="8"/>
      <c r="BE80" s="8"/>
      <c r="BF80" s="8"/>
      <c r="BG80" s="8"/>
      <c r="BH80" s="8"/>
      <c r="BI80" s="8"/>
      <c r="BJ80" s="8"/>
      <c r="BK80" s="59"/>
      <c r="BL80" s="59"/>
      <c r="BM80" s="59"/>
      <c r="BN80" s="164">
        <v>0.01</v>
      </c>
      <c r="BO80" s="165">
        <f t="shared" si="184"/>
        <v>3753.3333333333335</v>
      </c>
      <c r="BP80" s="165">
        <f t="shared" ref="BP80:BQ80" si="240">BO80</f>
        <v>3753.3333333333335</v>
      </c>
      <c r="BQ80" s="165">
        <f t="shared" si="240"/>
        <v>3753.3333333333335</v>
      </c>
      <c r="BR80" s="59"/>
      <c r="BS80" s="59"/>
      <c r="BT80" s="59"/>
      <c r="BU80" s="59"/>
      <c r="BV80" s="59" t="str">
        <f t="shared" si="223"/>
        <v>ND</v>
      </c>
      <c r="BW80" s="59" t="str">
        <f t="shared" si="224"/>
        <v>ND</v>
      </c>
      <c r="BX80" s="59" t="str">
        <f t="shared" si="225"/>
        <v>ND</v>
      </c>
      <c r="BY80" s="59" t="str">
        <f t="shared" si="226"/>
        <v>ND</v>
      </c>
      <c r="BZ80" s="59" t="str">
        <f t="shared" si="164"/>
        <v>NA</v>
      </c>
      <c r="CA80" s="59" t="str">
        <f t="shared" si="165"/>
        <v/>
      </c>
      <c r="CB80" s="59" t="str">
        <f t="shared" si="166"/>
        <v>NA</v>
      </c>
      <c r="CC80" s="59" t="str">
        <f t="shared" si="167"/>
        <v/>
      </c>
      <c r="CD80" s="59" t="str">
        <f t="shared" si="168"/>
        <v>NA</v>
      </c>
      <c r="CE80" s="59" t="str">
        <f t="shared" si="169"/>
        <v/>
      </c>
      <c r="CF80" s="59" t="str">
        <f t="shared" si="170"/>
        <v>NA</v>
      </c>
      <c r="CG80" s="59" t="str">
        <f t="shared" ca="1" si="171"/>
        <v>NA</v>
      </c>
      <c r="CH80" s="59" t="str">
        <f t="shared" ca="1" si="172"/>
        <v>NA</v>
      </c>
      <c r="CI80" s="59" t="str">
        <f t="shared" ca="1" si="173"/>
        <v>MAYOR A 45 DIAS</v>
      </c>
      <c r="CJ80" s="59" t="str">
        <f t="shared" ca="1" si="174"/>
        <v>MAYOR A 45 DIAS</v>
      </c>
      <c r="CK80" s="59" t="str">
        <f t="shared" ca="1" si="175"/>
        <v>MAYOR A 45 DIAS</v>
      </c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>
        <f t="shared" si="186"/>
        <v>0</v>
      </c>
      <c r="DH80" s="8">
        <f t="shared" si="187"/>
        <v>0</v>
      </c>
      <c r="DI80" s="8">
        <f t="shared" si="188"/>
        <v>0</v>
      </c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59" t="str">
        <f t="shared" si="189"/>
        <v>NA</v>
      </c>
      <c r="DU80" s="59" t="str">
        <f t="shared" si="190"/>
        <v>NA</v>
      </c>
      <c r="DV80" s="59" t="str">
        <f t="shared" si="191"/>
        <v>NA</v>
      </c>
      <c r="DW80" s="59" t="str">
        <f t="shared" si="192"/>
        <v>NA</v>
      </c>
      <c r="DX80" s="59" t="str">
        <f t="shared" si="193"/>
        <v>NA</v>
      </c>
      <c r="DY80" s="59" t="str">
        <f t="shared" si="194"/>
        <v>NA</v>
      </c>
      <c r="DZ80" s="59" t="str">
        <f t="shared" si="195"/>
        <v>NA</v>
      </c>
      <c r="EA80" s="59" t="str">
        <f t="shared" si="196"/>
        <v>NA</v>
      </c>
      <c r="EB80" s="59" t="str">
        <f t="shared" si="197"/>
        <v>NA</v>
      </c>
      <c r="EC80" s="59" t="str">
        <f t="shared" si="198"/>
        <v>NA</v>
      </c>
      <c r="ED80" s="59" t="str">
        <f t="shared" si="199"/>
        <v/>
      </c>
      <c r="EE80" s="59" t="str">
        <f t="shared" si="200"/>
        <v/>
      </c>
      <c r="EF80" s="59" t="str">
        <f t="shared" si="201"/>
        <v/>
      </c>
      <c r="EG80" s="59" t="str">
        <f t="shared" si="202"/>
        <v/>
      </c>
      <c r="EH80" s="59" t="str">
        <f t="shared" si="203"/>
        <v/>
      </c>
      <c r="EI80" s="59" t="str">
        <f t="shared" si="204"/>
        <v/>
      </c>
      <c r="EJ80" s="59" t="str">
        <f t="shared" si="205"/>
        <v/>
      </c>
      <c r="EK80" s="59" t="str">
        <f t="shared" si="206"/>
        <v/>
      </c>
      <c r="EL80" s="59" t="str">
        <f t="shared" si="207"/>
        <v/>
      </c>
      <c r="EM80" s="59" t="str">
        <f t="shared" si="208"/>
        <v/>
      </c>
      <c r="EN80" s="59" t="str">
        <f t="shared" si="209"/>
        <v/>
      </c>
      <c r="EO80" s="59" t="str">
        <f t="shared" si="210"/>
        <v/>
      </c>
      <c r="EP80" s="59" t="str">
        <f t="shared" si="211"/>
        <v/>
      </c>
      <c r="EQ80" s="59" t="str">
        <f t="shared" si="212"/>
        <v/>
      </c>
      <c r="ER80" s="59" t="str">
        <f t="shared" si="213"/>
        <v/>
      </c>
      <c r="ES80" s="59" t="str">
        <f t="shared" si="214"/>
        <v/>
      </c>
      <c r="ET80" s="59" t="str">
        <f t="shared" si="215"/>
        <v/>
      </c>
      <c r="EU80" s="59" t="str">
        <f t="shared" si="216"/>
        <v/>
      </c>
      <c r="EV80" s="59" t="str">
        <f t="shared" si="217"/>
        <v/>
      </c>
      <c r="EW80" s="59" t="str">
        <f t="shared" si="218"/>
        <v/>
      </c>
      <c r="EX80" s="56">
        <f t="shared" si="176"/>
        <v>1126000</v>
      </c>
    </row>
    <row r="81" spans="1:154" x14ac:dyDescent="0.25">
      <c r="A81" s="2">
        <f t="shared" si="219"/>
        <v>80</v>
      </c>
      <c r="B81" s="2" t="s">
        <v>6</v>
      </c>
      <c r="C81" s="2" t="str">
        <f t="shared" si="177"/>
        <v>020609</v>
      </c>
      <c r="D81" s="2">
        <v>2</v>
      </c>
      <c r="E81" s="2">
        <v>6</v>
      </c>
      <c r="F81" s="2">
        <v>9</v>
      </c>
      <c r="G81" s="11" t="s">
        <v>11</v>
      </c>
      <c r="H81" s="4"/>
      <c r="I81" s="42" t="s">
        <v>58</v>
      </c>
      <c r="J81" s="9">
        <v>80.322999999999993</v>
      </c>
      <c r="K81" s="5"/>
      <c r="L81" s="6" t="s">
        <v>306</v>
      </c>
      <c r="M81" s="23" t="s">
        <v>177</v>
      </c>
      <c r="N81" s="7">
        <f t="shared" si="220"/>
        <v>1127227.3999999999</v>
      </c>
      <c r="O81" s="8">
        <v>119</v>
      </c>
      <c r="P81" s="25">
        <v>41182</v>
      </c>
      <c r="Q81" s="8" t="str">
        <f t="shared" si="178"/>
        <v>2DA-SEP</v>
      </c>
      <c r="R81" s="26">
        <v>0.2</v>
      </c>
      <c r="S81" s="41" t="s">
        <v>34</v>
      </c>
      <c r="T81" s="8" t="s">
        <v>353</v>
      </c>
      <c r="U81" s="8"/>
      <c r="V81" s="7">
        <v>563613.69999999995</v>
      </c>
      <c r="W81" s="7">
        <f t="shared" si="231"/>
        <v>563613.69999999995</v>
      </c>
      <c r="X81" s="7">
        <f t="shared" si="179"/>
        <v>0</v>
      </c>
      <c r="Y81" s="7">
        <v>0</v>
      </c>
      <c r="Z81" s="7">
        <f t="shared" si="180"/>
        <v>563613.69999999995</v>
      </c>
      <c r="AA81" s="148" t="str">
        <f t="shared" si="181"/>
        <v>100%</v>
      </c>
      <c r="AB81" s="148">
        <f t="shared" si="182"/>
        <v>0</v>
      </c>
      <c r="AC81" s="25">
        <v>41069</v>
      </c>
      <c r="AD81" s="25">
        <v>41069</v>
      </c>
      <c r="AE81" s="25">
        <v>41069</v>
      </c>
      <c r="AF81" s="8"/>
      <c r="AG81" s="59" t="str">
        <f t="shared" ca="1" si="183"/>
        <v>NA</v>
      </c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59" t="str">
        <f t="shared" si="228"/>
        <v>NA</v>
      </c>
      <c r="AS81" s="59" t="str">
        <f t="shared" si="229"/>
        <v/>
      </c>
      <c r="AT81" s="59"/>
      <c r="AU81" s="59" t="str">
        <f t="shared" si="162"/>
        <v>ND</v>
      </c>
      <c r="AV81" s="66"/>
      <c r="AW81" s="66"/>
      <c r="AX81" s="66"/>
      <c r="AY81" s="66"/>
      <c r="AZ81" s="8"/>
      <c r="BA81" s="8" t="s">
        <v>37</v>
      </c>
      <c r="BB81" s="8"/>
      <c r="BC81" s="8"/>
      <c r="BD81" s="8"/>
      <c r="BE81" s="8"/>
      <c r="BF81" s="8"/>
      <c r="BG81" s="8"/>
      <c r="BH81" s="8"/>
      <c r="BI81" s="8"/>
      <c r="BJ81" s="8"/>
      <c r="BK81" s="59"/>
      <c r="BL81" s="59"/>
      <c r="BM81" s="59"/>
      <c r="BN81" s="164">
        <v>0.01</v>
      </c>
      <c r="BO81" s="165">
        <f t="shared" si="184"/>
        <v>3757.4246666666663</v>
      </c>
      <c r="BP81" s="165">
        <f t="shared" ref="BP81:BQ81" si="241">BO81</f>
        <v>3757.4246666666663</v>
      </c>
      <c r="BQ81" s="165">
        <f t="shared" si="241"/>
        <v>3757.4246666666663</v>
      </c>
      <c r="BR81" s="59"/>
      <c r="BS81" s="59"/>
      <c r="BT81" s="59"/>
      <c r="BU81" s="59"/>
      <c r="BV81" s="59" t="str">
        <f t="shared" si="223"/>
        <v>ND</v>
      </c>
      <c r="BW81" s="59" t="str">
        <f t="shared" si="224"/>
        <v>ND</v>
      </c>
      <c r="BX81" s="59" t="str">
        <f t="shared" si="225"/>
        <v>ND</v>
      </c>
      <c r="BY81" s="59" t="str">
        <f t="shared" si="226"/>
        <v>ND</v>
      </c>
      <c r="BZ81" s="59" t="str">
        <f t="shared" si="164"/>
        <v>NA</v>
      </c>
      <c r="CA81" s="59" t="str">
        <f t="shared" si="165"/>
        <v/>
      </c>
      <c r="CB81" s="59" t="str">
        <f t="shared" si="166"/>
        <v>NA</v>
      </c>
      <c r="CC81" s="59" t="str">
        <f t="shared" si="167"/>
        <v/>
      </c>
      <c r="CD81" s="59" t="str">
        <f t="shared" si="168"/>
        <v>NA</v>
      </c>
      <c r="CE81" s="59" t="str">
        <f t="shared" si="169"/>
        <v/>
      </c>
      <c r="CF81" s="59" t="str">
        <f t="shared" si="170"/>
        <v>NA</v>
      </c>
      <c r="CG81" s="59" t="str">
        <f t="shared" ca="1" si="171"/>
        <v>NA</v>
      </c>
      <c r="CH81" s="59" t="str">
        <f t="shared" ca="1" si="172"/>
        <v>NA</v>
      </c>
      <c r="CI81" s="59" t="str">
        <f t="shared" ca="1" si="173"/>
        <v>MAYOR A 45 DIAS</v>
      </c>
      <c r="CJ81" s="59" t="str">
        <f t="shared" ca="1" si="174"/>
        <v>MAYOR A 45 DIAS</v>
      </c>
      <c r="CK81" s="59" t="str">
        <f t="shared" ca="1" si="175"/>
        <v>MAYOR A 45 DIAS</v>
      </c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>
        <f t="shared" si="186"/>
        <v>0</v>
      </c>
      <c r="DH81" s="8">
        <f t="shared" si="187"/>
        <v>0</v>
      </c>
      <c r="DI81" s="8">
        <f t="shared" si="188"/>
        <v>0</v>
      </c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59" t="str">
        <f t="shared" si="189"/>
        <v>NA</v>
      </c>
      <c r="DU81" s="59" t="str">
        <f t="shared" si="190"/>
        <v>NA</v>
      </c>
      <c r="DV81" s="59" t="str">
        <f t="shared" si="191"/>
        <v>NA</v>
      </c>
      <c r="DW81" s="59" t="str">
        <f t="shared" si="192"/>
        <v>NA</v>
      </c>
      <c r="DX81" s="59" t="str">
        <f t="shared" si="193"/>
        <v>NA</v>
      </c>
      <c r="DY81" s="59" t="str">
        <f t="shared" si="194"/>
        <v>NA</v>
      </c>
      <c r="DZ81" s="59" t="str">
        <f t="shared" si="195"/>
        <v>NA</v>
      </c>
      <c r="EA81" s="59" t="str">
        <f t="shared" si="196"/>
        <v>NA</v>
      </c>
      <c r="EB81" s="59" t="str">
        <f t="shared" si="197"/>
        <v>NA</v>
      </c>
      <c r="EC81" s="59" t="str">
        <f t="shared" si="198"/>
        <v>NA</v>
      </c>
      <c r="ED81" s="59" t="str">
        <f t="shared" si="199"/>
        <v/>
      </c>
      <c r="EE81" s="59" t="str">
        <f t="shared" si="200"/>
        <v/>
      </c>
      <c r="EF81" s="59" t="str">
        <f t="shared" si="201"/>
        <v/>
      </c>
      <c r="EG81" s="59" t="str">
        <f t="shared" si="202"/>
        <v/>
      </c>
      <c r="EH81" s="59" t="str">
        <f t="shared" si="203"/>
        <v/>
      </c>
      <c r="EI81" s="59" t="str">
        <f t="shared" si="204"/>
        <v/>
      </c>
      <c r="EJ81" s="59" t="str">
        <f t="shared" si="205"/>
        <v/>
      </c>
      <c r="EK81" s="59" t="str">
        <f t="shared" si="206"/>
        <v/>
      </c>
      <c r="EL81" s="59" t="str">
        <f t="shared" si="207"/>
        <v/>
      </c>
      <c r="EM81" s="59" t="str">
        <f t="shared" si="208"/>
        <v/>
      </c>
      <c r="EN81" s="59" t="str">
        <f t="shared" si="209"/>
        <v/>
      </c>
      <c r="EO81" s="59" t="str">
        <f t="shared" si="210"/>
        <v/>
      </c>
      <c r="EP81" s="59" t="str">
        <f t="shared" si="211"/>
        <v/>
      </c>
      <c r="EQ81" s="59" t="str">
        <f t="shared" si="212"/>
        <v/>
      </c>
      <c r="ER81" s="59" t="str">
        <f t="shared" si="213"/>
        <v/>
      </c>
      <c r="ES81" s="59" t="str">
        <f t="shared" si="214"/>
        <v/>
      </c>
      <c r="ET81" s="59" t="str">
        <f t="shared" si="215"/>
        <v/>
      </c>
      <c r="EU81" s="59" t="str">
        <f t="shared" si="216"/>
        <v/>
      </c>
      <c r="EV81" s="59" t="str">
        <f t="shared" si="217"/>
        <v/>
      </c>
      <c r="EW81" s="59" t="str">
        <f t="shared" si="218"/>
        <v/>
      </c>
      <c r="EX81" s="56">
        <f t="shared" si="176"/>
        <v>1127227.3999999999</v>
      </c>
    </row>
    <row r="82" spans="1:154" x14ac:dyDescent="0.25">
      <c r="A82" s="2">
        <f t="shared" si="219"/>
        <v>81</v>
      </c>
      <c r="B82" s="2" t="s">
        <v>6</v>
      </c>
      <c r="C82" s="2" t="str">
        <f t="shared" si="177"/>
        <v>020610</v>
      </c>
      <c r="D82" s="2">
        <v>2</v>
      </c>
      <c r="E82" s="2">
        <v>6</v>
      </c>
      <c r="F82" s="2">
        <v>10</v>
      </c>
      <c r="G82" s="11" t="s">
        <v>11</v>
      </c>
      <c r="H82" s="4"/>
      <c r="I82" s="42" t="s">
        <v>58</v>
      </c>
      <c r="J82" s="9">
        <v>84.034999999999997</v>
      </c>
      <c r="K82" s="5"/>
      <c r="L82" s="6" t="s">
        <v>306</v>
      </c>
      <c r="M82" s="23" t="s">
        <v>177</v>
      </c>
      <c r="N82" s="7">
        <f t="shared" si="220"/>
        <v>1141333</v>
      </c>
      <c r="O82" s="8">
        <v>120</v>
      </c>
      <c r="P82" s="25">
        <v>41182</v>
      </c>
      <c r="Q82" s="8" t="str">
        <f t="shared" si="178"/>
        <v>2DA-SEP</v>
      </c>
      <c r="R82" s="26">
        <v>0.2</v>
      </c>
      <c r="S82" s="41" t="s">
        <v>34</v>
      </c>
      <c r="T82" s="8" t="s">
        <v>353</v>
      </c>
      <c r="U82" s="8"/>
      <c r="V82" s="7">
        <v>570666.5</v>
      </c>
      <c r="W82" s="7">
        <f t="shared" ref="W82:W91" si="242">+V82*0</f>
        <v>0</v>
      </c>
      <c r="X82" s="7">
        <f t="shared" si="179"/>
        <v>570666.5</v>
      </c>
      <c r="Y82" s="7">
        <v>0</v>
      </c>
      <c r="Z82" s="7">
        <f t="shared" si="180"/>
        <v>0</v>
      </c>
      <c r="AA82" s="148" t="str">
        <f t="shared" si="181"/>
        <v>5%</v>
      </c>
      <c r="AB82" s="148">
        <f t="shared" si="182"/>
        <v>0.95</v>
      </c>
      <c r="AC82" s="25">
        <v>41049</v>
      </c>
      <c r="AD82" s="25">
        <v>41049</v>
      </c>
      <c r="AE82" s="25">
        <v>41049</v>
      </c>
      <c r="AF82" s="8"/>
      <c r="AG82" s="59" t="str">
        <f t="shared" ca="1" si="183"/>
        <v>NA</v>
      </c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59" t="str">
        <f t="shared" si="228"/>
        <v>NA</v>
      </c>
      <c r="AS82" s="59" t="str">
        <f t="shared" si="229"/>
        <v/>
      </c>
      <c r="AT82" s="59"/>
      <c r="AU82" s="59" t="str">
        <f t="shared" si="162"/>
        <v>ND</v>
      </c>
      <c r="AV82" s="66"/>
      <c r="AW82" s="66"/>
      <c r="AX82" s="66"/>
      <c r="AY82" s="66"/>
      <c r="AZ82" s="8"/>
      <c r="BA82" s="8" t="s">
        <v>37</v>
      </c>
      <c r="BB82" s="8"/>
      <c r="BC82" s="8"/>
      <c r="BD82" s="8"/>
      <c r="BE82" s="8"/>
      <c r="BF82" s="8"/>
      <c r="BG82" s="8"/>
      <c r="BH82" s="8"/>
      <c r="BI82" s="8"/>
      <c r="BJ82" s="8"/>
      <c r="BK82" s="59"/>
      <c r="BL82" s="59"/>
      <c r="BM82" s="59"/>
      <c r="BN82" s="164">
        <v>0.01</v>
      </c>
      <c r="BO82" s="165">
        <f t="shared" si="184"/>
        <v>3804.4433333333332</v>
      </c>
      <c r="BP82" s="165">
        <f t="shared" ref="BP82:BQ82" si="243">BO82</f>
        <v>3804.4433333333332</v>
      </c>
      <c r="BQ82" s="165">
        <f t="shared" si="243"/>
        <v>3804.4433333333332</v>
      </c>
      <c r="BR82" s="59"/>
      <c r="BS82" s="59"/>
      <c r="BT82" s="59"/>
      <c r="BU82" s="59"/>
      <c r="BV82" s="59" t="str">
        <f t="shared" si="223"/>
        <v>ND</v>
      </c>
      <c r="BW82" s="59" t="str">
        <f t="shared" si="224"/>
        <v>ND</v>
      </c>
      <c r="BX82" s="59" t="str">
        <f t="shared" si="225"/>
        <v>ND</v>
      </c>
      <c r="BY82" s="59" t="str">
        <f t="shared" si="226"/>
        <v>ND</v>
      </c>
      <c r="BZ82" s="59" t="str">
        <f t="shared" si="164"/>
        <v>NA</v>
      </c>
      <c r="CA82" s="59" t="str">
        <f t="shared" si="165"/>
        <v/>
      </c>
      <c r="CB82" s="59" t="str">
        <f t="shared" si="166"/>
        <v>NA</v>
      </c>
      <c r="CC82" s="59" t="str">
        <f t="shared" si="167"/>
        <v/>
      </c>
      <c r="CD82" s="59" t="str">
        <f t="shared" si="168"/>
        <v>NA</v>
      </c>
      <c r="CE82" s="59" t="str">
        <f t="shared" si="169"/>
        <v/>
      </c>
      <c r="CF82" s="59" t="str">
        <f t="shared" si="170"/>
        <v>NA</v>
      </c>
      <c r="CG82" s="59" t="str">
        <f t="shared" ca="1" si="171"/>
        <v>NA</v>
      </c>
      <c r="CH82" s="59" t="str">
        <f t="shared" ca="1" si="172"/>
        <v>NA</v>
      </c>
      <c r="CI82" s="59" t="str">
        <f t="shared" ca="1" si="173"/>
        <v>MAYOR A 45 DIAS</v>
      </c>
      <c r="CJ82" s="59" t="str">
        <f t="shared" ca="1" si="174"/>
        <v>MAYOR A 45 DIAS</v>
      </c>
      <c r="CK82" s="59" t="str">
        <f t="shared" ca="1" si="175"/>
        <v>MAYOR A 45 DIAS</v>
      </c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>
        <f t="shared" si="186"/>
        <v>0</v>
      </c>
      <c r="DH82" s="8">
        <f t="shared" si="187"/>
        <v>0</v>
      </c>
      <c r="DI82" s="8">
        <f t="shared" si="188"/>
        <v>0</v>
      </c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59" t="str">
        <f t="shared" si="189"/>
        <v>NA</v>
      </c>
      <c r="DU82" s="59" t="str">
        <f t="shared" si="190"/>
        <v>NA</v>
      </c>
      <c r="DV82" s="59" t="str">
        <f t="shared" si="191"/>
        <v>NA</v>
      </c>
      <c r="DW82" s="59" t="str">
        <f t="shared" si="192"/>
        <v>NA</v>
      </c>
      <c r="DX82" s="59" t="str">
        <f t="shared" si="193"/>
        <v>NA</v>
      </c>
      <c r="DY82" s="59" t="str">
        <f t="shared" si="194"/>
        <v>NA</v>
      </c>
      <c r="DZ82" s="59" t="str">
        <f t="shared" si="195"/>
        <v>NA</v>
      </c>
      <c r="EA82" s="59" t="str">
        <f t="shared" si="196"/>
        <v>NA</v>
      </c>
      <c r="EB82" s="59" t="str">
        <f t="shared" si="197"/>
        <v>NA</v>
      </c>
      <c r="EC82" s="59" t="str">
        <f t="shared" si="198"/>
        <v>NA</v>
      </c>
      <c r="ED82" s="59" t="str">
        <f t="shared" si="199"/>
        <v/>
      </c>
      <c r="EE82" s="59" t="str">
        <f t="shared" si="200"/>
        <v/>
      </c>
      <c r="EF82" s="59" t="str">
        <f t="shared" si="201"/>
        <v/>
      </c>
      <c r="EG82" s="59" t="str">
        <f t="shared" si="202"/>
        <v/>
      </c>
      <c r="EH82" s="59" t="str">
        <f t="shared" si="203"/>
        <v/>
      </c>
      <c r="EI82" s="59" t="str">
        <f t="shared" si="204"/>
        <v/>
      </c>
      <c r="EJ82" s="59" t="str">
        <f t="shared" si="205"/>
        <v/>
      </c>
      <c r="EK82" s="59" t="str">
        <f t="shared" si="206"/>
        <v/>
      </c>
      <c r="EL82" s="59" t="str">
        <f t="shared" si="207"/>
        <v/>
      </c>
      <c r="EM82" s="59" t="str">
        <f t="shared" si="208"/>
        <v/>
      </c>
      <c r="EN82" s="59" t="str">
        <f t="shared" si="209"/>
        <v/>
      </c>
      <c r="EO82" s="59" t="str">
        <f t="shared" si="210"/>
        <v/>
      </c>
      <c r="EP82" s="59" t="str">
        <f t="shared" si="211"/>
        <v/>
      </c>
      <c r="EQ82" s="59" t="str">
        <f t="shared" si="212"/>
        <v/>
      </c>
      <c r="ER82" s="59" t="str">
        <f t="shared" si="213"/>
        <v/>
      </c>
      <c r="ES82" s="59" t="str">
        <f t="shared" si="214"/>
        <v/>
      </c>
      <c r="ET82" s="59" t="str">
        <f t="shared" si="215"/>
        <v/>
      </c>
      <c r="EU82" s="59" t="str">
        <f t="shared" si="216"/>
        <v/>
      </c>
      <c r="EV82" s="59" t="str">
        <f t="shared" si="217"/>
        <v/>
      </c>
      <c r="EW82" s="59" t="str">
        <f t="shared" si="218"/>
        <v/>
      </c>
      <c r="EX82" s="56">
        <f t="shared" si="176"/>
        <v>1141333</v>
      </c>
    </row>
    <row r="83" spans="1:154" x14ac:dyDescent="0.25">
      <c r="A83" s="2">
        <f t="shared" si="219"/>
        <v>82</v>
      </c>
      <c r="B83" s="2" t="s">
        <v>6</v>
      </c>
      <c r="C83" s="2" t="str">
        <f t="shared" si="177"/>
        <v>020611</v>
      </c>
      <c r="D83" s="2">
        <v>2</v>
      </c>
      <c r="E83" s="2">
        <v>6</v>
      </c>
      <c r="F83" s="2">
        <v>11</v>
      </c>
      <c r="G83" s="11" t="s">
        <v>11</v>
      </c>
      <c r="H83" s="4"/>
      <c r="I83" s="42" t="s">
        <v>58</v>
      </c>
      <c r="J83" s="9">
        <v>105.44199999999999</v>
      </c>
      <c r="K83" s="9"/>
      <c r="L83" s="10" t="s">
        <v>8</v>
      </c>
      <c r="M83" s="23" t="s">
        <v>177</v>
      </c>
      <c r="N83" s="7">
        <f t="shared" si="220"/>
        <v>1231679.6000000001</v>
      </c>
      <c r="O83" s="8">
        <v>121</v>
      </c>
      <c r="P83" s="25">
        <v>41182</v>
      </c>
      <c r="Q83" s="8" t="str">
        <f t="shared" si="178"/>
        <v>2DA-SEP</v>
      </c>
      <c r="R83" s="26">
        <v>0.2</v>
      </c>
      <c r="S83" s="41" t="s">
        <v>34</v>
      </c>
      <c r="T83" s="8" t="s">
        <v>353</v>
      </c>
      <c r="U83" s="8"/>
      <c r="V83" s="7">
        <v>615839.80000000005</v>
      </c>
      <c r="W83" s="7">
        <f t="shared" si="242"/>
        <v>0</v>
      </c>
      <c r="X83" s="7">
        <f t="shared" si="179"/>
        <v>615839.80000000005</v>
      </c>
      <c r="Y83" s="7">
        <v>0</v>
      </c>
      <c r="Z83" s="7">
        <f t="shared" si="180"/>
        <v>0</v>
      </c>
      <c r="AA83" s="148" t="str">
        <f t="shared" si="181"/>
        <v>5%</v>
      </c>
      <c r="AB83" s="148">
        <f t="shared" si="182"/>
        <v>0.95</v>
      </c>
      <c r="AC83" s="25">
        <v>41096</v>
      </c>
      <c r="AD83" s="25">
        <v>41096</v>
      </c>
      <c r="AE83" s="25">
        <v>41096</v>
      </c>
      <c r="AF83" s="8"/>
      <c r="AG83" s="59" t="str">
        <f t="shared" ca="1" si="183"/>
        <v>NA</v>
      </c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59" t="str">
        <f t="shared" si="228"/>
        <v>NA</v>
      </c>
      <c r="AS83" s="59" t="str">
        <f t="shared" si="229"/>
        <v/>
      </c>
      <c r="AT83" s="59"/>
      <c r="AU83" s="59" t="str">
        <f t="shared" si="162"/>
        <v>ND</v>
      </c>
      <c r="AV83" s="66"/>
      <c r="AW83" s="66"/>
      <c r="AX83" s="66"/>
      <c r="AY83" s="66"/>
      <c r="AZ83" s="8"/>
      <c r="BA83" s="8" t="s">
        <v>37</v>
      </c>
      <c r="BB83" s="8"/>
      <c r="BC83" s="8"/>
      <c r="BD83" s="8"/>
      <c r="BE83" s="8"/>
      <c r="BF83" s="8"/>
      <c r="BG83" s="8"/>
      <c r="BH83" s="8"/>
      <c r="BI83" s="8"/>
      <c r="BJ83" s="8"/>
      <c r="BK83" s="59"/>
      <c r="BL83" s="59"/>
      <c r="BM83" s="59"/>
      <c r="BN83" s="164">
        <v>0.01</v>
      </c>
      <c r="BO83" s="165">
        <f t="shared" si="184"/>
        <v>4105.5986666666677</v>
      </c>
      <c r="BP83" s="165">
        <f t="shared" ref="BP83:BQ83" si="244">BO83</f>
        <v>4105.5986666666677</v>
      </c>
      <c r="BQ83" s="165">
        <f t="shared" si="244"/>
        <v>4105.5986666666677</v>
      </c>
      <c r="BR83" s="59"/>
      <c r="BS83" s="59"/>
      <c r="BT83" s="59"/>
      <c r="BU83" s="59"/>
      <c r="BV83" s="59" t="str">
        <f t="shared" si="223"/>
        <v>ND</v>
      </c>
      <c r="BW83" s="59" t="str">
        <f t="shared" si="224"/>
        <v>ND</v>
      </c>
      <c r="BX83" s="59" t="str">
        <f t="shared" si="225"/>
        <v>ND</v>
      </c>
      <c r="BY83" s="59" t="str">
        <f t="shared" si="226"/>
        <v>ND</v>
      </c>
      <c r="BZ83" s="59" t="str">
        <f t="shared" si="164"/>
        <v>NA</v>
      </c>
      <c r="CA83" s="59" t="str">
        <f t="shared" si="165"/>
        <v/>
      </c>
      <c r="CB83" s="59" t="str">
        <f t="shared" si="166"/>
        <v>NA</v>
      </c>
      <c r="CC83" s="59" t="str">
        <f t="shared" si="167"/>
        <v/>
      </c>
      <c r="CD83" s="59" t="str">
        <f t="shared" si="168"/>
        <v>NA</v>
      </c>
      <c r="CE83" s="59" t="str">
        <f t="shared" si="169"/>
        <v/>
      </c>
      <c r="CF83" s="59" t="str">
        <f t="shared" si="170"/>
        <v>NA</v>
      </c>
      <c r="CG83" s="59" t="str">
        <f t="shared" ca="1" si="171"/>
        <v>NA</v>
      </c>
      <c r="CH83" s="59" t="str">
        <f t="shared" ca="1" si="172"/>
        <v>NA</v>
      </c>
      <c r="CI83" s="59" t="str">
        <f t="shared" ca="1" si="173"/>
        <v>DE 26 A 29 DIAS</v>
      </c>
      <c r="CJ83" s="59" t="str">
        <f t="shared" ca="1" si="174"/>
        <v>DE 26 A 29 DIAS</v>
      </c>
      <c r="CK83" s="59" t="str">
        <f t="shared" ca="1" si="175"/>
        <v>DE 26 A 29 DIAS</v>
      </c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>
        <f t="shared" si="186"/>
        <v>0</v>
      </c>
      <c r="DH83" s="8">
        <f t="shared" si="187"/>
        <v>0</v>
      </c>
      <c r="DI83" s="8">
        <f t="shared" si="188"/>
        <v>0</v>
      </c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59" t="str">
        <f t="shared" si="189"/>
        <v>NA</v>
      </c>
      <c r="DU83" s="59" t="str">
        <f t="shared" si="190"/>
        <v>NA</v>
      </c>
      <c r="DV83" s="59" t="str">
        <f t="shared" si="191"/>
        <v>NA</v>
      </c>
      <c r="DW83" s="59" t="str">
        <f t="shared" si="192"/>
        <v>NA</v>
      </c>
      <c r="DX83" s="59" t="str">
        <f t="shared" si="193"/>
        <v>NA</v>
      </c>
      <c r="DY83" s="59" t="str">
        <f t="shared" si="194"/>
        <v>NA</v>
      </c>
      <c r="DZ83" s="59" t="str">
        <f t="shared" si="195"/>
        <v>NA</v>
      </c>
      <c r="EA83" s="59" t="str">
        <f t="shared" si="196"/>
        <v>NA</v>
      </c>
      <c r="EB83" s="59" t="str">
        <f t="shared" si="197"/>
        <v>NA</v>
      </c>
      <c r="EC83" s="59" t="str">
        <f t="shared" si="198"/>
        <v>NA</v>
      </c>
      <c r="ED83" s="59" t="str">
        <f t="shared" si="199"/>
        <v/>
      </c>
      <c r="EE83" s="59" t="str">
        <f t="shared" si="200"/>
        <v/>
      </c>
      <c r="EF83" s="59" t="str">
        <f t="shared" si="201"/>
        <v/>
      </c>
      <c r="EG83" s="59" t="str">
        <f t="shared" si="202"/>
        <v/>
      </c>
      <c r="EH83" s="59" t="str">
        <f t="shared" si="203"/>
        <v/>
      </c>
      <c r="EI83" s="59" t="str">
        <f t="shared" si="204"/>
        <v/>
      </c>
      <c r="EJ83" s="59" t="str">
        <f t="shared" si="205"/>
        <v/>
      </c>
      <c r="EK83" s="59" t="str">
        <f t="shared" si="206"/>
        <v/>
      </c>
      <c r="EL83" s="59" t="str">
        <f t="shared" si="207"/>
        <v/>
      </c>
      <c r="EM83" s="59" t="str">
        <f t="shared" si="208"/>
        <v/>
      </c>
      <c r="EN83" s="59" t="str">
        <f t="shared" si="209"/>
        <v/>
      </c>
      <c r="EO83" s="59" t="str">
        <f t="shared" si="210"/>
        <v/>
      </c>
      <c r="EP83" s="59" t="str">
        <f t="shared" si="211"/>
        <v/>
      </c>
      <c r="EQ83" s="59" t="str">
        <f t="shared" si="212"/>
        <v/>
      </c>
      <c r="ER83" s="59" t="str">
        <f t="shared" si="213"/>
        <v/>
      </c>
      <c r="ES83" s="59" t="str">
        <f t="shared" si="214"/>
        <v/>
      </c>
      <c r="ET83" s="59" t="str">
        <f t="shared" si="215"/>
        <v/>
      </c>
      <c r="EU83" s="59" t="str">
        <f t="shared" si="216"/>
        <v/>
      </c>
      <c r="EV83" s="59" t="str">
        <f t="shared" si="217"/>
        <v/>
      </c>
      <c r="EW83" s="59" t="str">
        <f t="shared" si="218"/>
        <v/>
      </c>
      <c r="EX83" s="56">
        <f t="shared" si="176"/>
        <v>1231679.6000000001</v>
      </c>
    </row>
    <row r="84" spans="1:154" x14ac:dyDescent="0.25">
      <c r="A84" s="2">
        <f t="shared" si="219"/>
        <v>83</v>
      </c>
      <c r="B84" s="2" t="s">
        <v>6</v>
      </c>
      <c r="C84" s="2" t="str">
        <f t="shared" si="177"/>
        <v>020612</v>
      </c>
      <c r="D84" s="2">
        <v>2</v>
      </c>
      <c r="E84" s="2">
        <v>6</v>
      </c>
      <c r="F84" s="2">
        <v>12</v>
      </c>
      <c r="G84" s="11" t="s">
        <v>14</v>
      </c>
      <c r="H84" s="4"/>
      <c r="I84" s="42" t="s">
        <v>58</v>
      </c>
      <c r="J84" s="9">
        <v>80</v>
      </c>
      <c r="K84" s="5"/>
      <c r="L84" s="6" t="s">
        <v>306</v>
      </c>
      <c r="M84" s="23" t="s">
        <v>177</v>
      </c>
      <c r="N84" s="7">
        <f t="shared" si="220"/>
        <v>1126000</v>
      </c>
      <c r="O84" s="8">
        <v>122</v>
      </c>
      <c r="P84" s="25">
        <v>41197</v>
      </c>
      <c r="Q84" s="8" t="str">
        <f t="shared" si="178"/>
        <v>2DA-OCT</v>
      </c>
      <c r="R84" s="26">
        <v>0.1</v>
      </c>
      <c r="S84" s="41" t="s">
        <v>34</v>
      </c>
      <c r="T84" s="8" t="s">
        <v>353</v>
      </c>
      <c r="U84" s="8"/>
      <c r="V84" s="7">
        <v>563000</v>
      </c>
      <c r="W84" s="7">
        <f t="shared" si="242"/>
        <v>0</v>
      </c>
      <c r="X84" s="7">
        <f t="shared" si="179"/>
        <v>563000</v>
      </c>
      <c r="Y84" s="7">
        <v>0</v>
      </c>
      <c r="Z84" s="7">
        <f t="shared" si="180"/>
        <v>0</v>
      </c>
      <c r="AA84" s="148" t="str">
        <f t="shared" si="181"/>
        <v>5%</v>
      </c>
      <c r="AB84" s="148">
        <f t="shared" si="182"/>
        <v>0.95</v>
      </c>
      <c r="AC84" s="25">
        <v>41090</v>
      </c>
      <c r="AD84" s="25">
        <v>41090</v>
      </c>
      <c r="AE84" s="25">
        <v>41090</v>
      </c>
      <c r="AF84" s="8"/>
      <c r="AG84" s="59" t="str">
        <f t="shared" ca="1" si="183"/>
        <v>NA</v>
      </c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59" t="str">
        <f t="shared" si="228"/>
        <v>NA</v>
      </c>
      <c r="AS84" s="59" t="str">
        <f t="shared" si="229"/>
        <v/>
      </c>
      <c r="AT84" s="59"/>
      <c r="AU84" s="59" t="str">
        <f t="shared" si="162"/>
        <v>ND</v>
      </c>
      <c r="AV84" s="66"/>
      <c r="AW84" s="66"/>
      <c r="AX84" s="66"/>
      <c r="AY84" s="66"/>
      <c r="AZ84" s="8"/>
      <c r="BA84" s="8" t="s">
        <v>37</v>
      </c>
      <c r="BB84" s="8"/>
      <c r="BC84" s="8"/>
      <c r="BD84" s="8"/>
      <c r="BE84" s="8"/>
      <c r="BF84" s="8"/>
      <c r="BG84" s="8"/>
      <c r="BH84" s="8"/>
      <c r="BI84" s="8"/>
      <c r="BJ84" s="8"/>
      <c r="BK84" s="59"/>
      <c r="BL84" s="59"/>
      <c r="BM84" s="59"/>
      <c r="BN84" s="164">
        <v>0.01</v>
      </c>
      <c r="BO84" s="165">
        <f t="shared" si="184"/>
        <v>3753.3333333333335</v>
      </c>
      <c r="BP84" s="165">
        <f t="shared" ref="BP84:BQ84" si="245">BO84</f>
        <v>3753.3333333333335</v>
      </c>
      <c r="BQ84" s="165">
        <f t="shared" si="245"/>
        <v>3753.3333333333335</v>
      </c>
      <c r="BR84" s="59"/>
      <c r="BS84" s="59"/>
      <c r="BT84" s="59"/>
      <c r="BU84" s="59"/>
      <c r="BV84" s="59" t="str">
        <f t="shared" si="223"/>
        <v>ND</v>
      </c>
      <c r="BW84" s="59" t="str">
        <f t="shared" si="224"/>
        <v>ND</v>
      </c>
      <c r="BX84" s="59" t="str">
        <f t="shared" si="225"/>
        <v>ND</v>
      </c>
      <c r="BY84" s="59" t="str">
        <f t="shared" si="226"/>
        <v>ND</v>
      </c>
      <c r="BZ84" s="59" t="str">
        <f t="shared" si="164"/>
        <v>NA</v>
      </c>
      <c r="CA84" s="59" t="str">
        <f t="shared" si="165"/>
        <v/>
      </c>
      <c r="CB84" s="59" t="str">
        <f t="shared" si="166"/>
        <v>NA</v>
      </c>
      <c r="CC84" s="59" t="str">
        <f t="shared" si="167"/>
        <v/>
      </c>
      <c r="CD84" s="59" t="str">
        <f t="shared" si="168"/>
        <v>NA</v>
      </c>
      <c r="CE84" s="59" t="str">
        <f t="shared" si="169"/>
        <v/>
      </c>
      <c r="CF84" s="59" t="str">
        <f t="shared" si="170"/>
        <v>NA</v>
      </c>
      <c r="CG84" s="59" t="str">
        <f t="shared" ca="1" si="171"/>
        <v>NA</v>
      </c>
      <c r="CH84" s="59" t="str">
        <f t="shared" ca="1" si="172"/>
        <v>NA</v>
      </c>
      <c r="CI84" s="59" t="str">
        <f t="shared" ca="1" si="173"/>
        <v>DE 31 A 35 DIAS</v>
      </c>
      <c r="CJ84" s="59" t="str">
        <f t="shared" ca="1" si="174"/>
        <v>DE 31 A 35 DIAS</v>
      </c>
      <c r="CK84" s="59" t="str">
        <f t="shared" ca="1" si="175"/>
        <v>DE 31 A 35 DIAS</v>
      </c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>
        <f t="shared" si="186"/>
        <v>0</v>
      </c>
      <c r="DH84" s="8">
        <f t="shared" si="187"/>
        <v>0</v>
      </c>
      <c r="DI84" s="8">
        <f t="shared" si="188"/>
        <v>0</v>
      </c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59" t="str">
        <f t="shared" si="189"/>
        <v>NA</v>
      </c>
      <c r="DU84" s="59" t="str">
        <f t="shared" si="190"/>
        <v>NA</v>
      </c>
      <c r="DV84" s="59" t="str">
        <f t="shared" si="191"/>
        <v>NA</v>
      </c>
      <c r="DW84" s="59" t="str">
        <f t="shared" si="192"/>
        <v>NA</v>
      </c>
      <c r="DX84" s="59" t="str">
        <f t="shared" si="193"/>
        <v>NA</v>
      </c>
      <c r="DY84" s="59" t="str">
        <f t="shared" si="194"/>
        <v>NA</v>
      </c>
      <c r="DZ84" s="59" t="str">
        <f t="shared" si="195"/>
        <v>NA</v>
      </c>
      <c r="EA84" s="59" t="str">
        <f t="shared" si="196"/>
        <v>NA</v>
      </c>
      <c r="EB84" s="59" t="str">
        <f t="shared" si="197"/>
        <v>NA</v>
      </c>
      <c r="EC84" s="59" t="str">
        <f t="shared" si="198"/>
        <v>NA</v>
      </c>
      <c r="ED84" s="59" t="str">
        <f t="shared" si="199"/>
        <v/>
      </c>
      <c r="EE84" s="59" t="str">
        <f t="shared" si="200"/>
        <v/>
      </c>
      <c r="EF84" s="59" t="str">
        <f t="shared" si="201"/>
        <v/>
      </c>
      <c r="EG84" s="59" t="str">
        <f t="shared" si="202"/>
        <v/>
      </c>
      <c r="EH84" s="59" t="str">
        <f t="shared" si="203"/>
        <v/>
      </c>
      <c r="EI84" s="59" t="str">
        <f t="shared" si="204"/>
        <v/>
      </c>
      <c r="EJ84" s="59" t="str">
        <f t="shared" si="205"/>
        <v/>
      </c>
      <c r="EK84" s="59" t="str">
        <f t="shared" si="206"/>
        <v/>
      </c>
      <c r="EL84" s="59" t="str">
        <f t="shared" si="207"/>
        <v/>
      </c>
      <c r="EM84" s="59" t="str">
        <f t="shared" si="208"/>
        <v/>
      </c>
      <c r="EN84" s="59" t="str">
        <f t="shared" si="209"/>
        <v/>
      </c>
      <c r="EO84" s="59" t="str">
        <f t="shared" si="210"/>
        <v/>
      </c>
      <c r="EP84" s="59" t="str">
        <f t="shared" si="211"/>
        <v/>
      </c>
      <c r="EQ84" s="59" t="str">
        <f t="shared" si="212"/>
        <v/>
      </c>
      <c r="ER84" s="59" t="str">
        <f t="shared" si="213"/>
        <v/>
      </c>
      <c r="ES84" s="59" t="str">
        <f t="shared" si="214"/>
        <v/>
      </c>
      <c r="ET84" s="59" t="str">
        <f t="shared" si="215"/>
        <v/>
      </c>
      <c r="EU84" s="59" t="str">
        <f t="shared" si="216"/>
        <v/>
      </c>
      <c r="EV84" s="59" t="str">
        <f t="shared" si="217"/>
        <v/>
      </c>
      <c r="EW84" s="59" t="str">
        <f t="shared" si="218"/>
        <v/>
      </c>
      <c r="EX84" s="56">
        <f t="shared" si="176"/>
        <v>1126000</v>
      </c>
    </row>
    <row r="85" spans="1:154" x14ac:dyDescent="0.25">
      <c r="A85" s="2">
        <f t="shared" si="219"/>
        <v>84</v>
      </c>
      <c r="B85" s="2" t="s">
        <v>6</v>
      </c>
      <c r="C85" s="2" t="str">
        <f t="shared" si="177"/>
        <v>020613</v>
      </c>
      <c r="D85" s="13">
        <v>2</v>
      </c>
      <c r="E85" s="13">
        <v>6</v>
      </c>
      <c r="F85" s="13">
        <v>13</v>
      </c>
      <c r="G85" s="11" t="s">
        <v>14</v>
      </c>
      <c r="H85" s="4"/>
      <c r="I85" s="42" t="s">
        <v>58</v>
      </c>
      <c r="J85" s="15">
        <v>80</v>
      </c>
      <c r="K85" s="15"/>
      <c r="L85" s="12" t="s">
        <v>8</v>
      </c>
      <c r="M85" s="23" t="s">
        <v>177</v>
      </c>
      <c r="N85" s="7">
        <f t="shared" si="220"/>
        <v>1135000</v>
      </c>
      <c r="O85" s="8">
        <v>123</v>
      </c>
      <c r="P85" s="25">
        <v>41197</v>
      </c>
      <c r="Q85" s="8" t="str">
        <f t="shared" si="178"/>
        <v>2DA-OCT</v>
      </c>
      <c r="R85" s="26">
        <v>0.1</v>
      </c>
      <c r="S85" s="41" t="s">
        <v>34</v>
      </c>
      <c r="T85" s="8" t="s">
        <v>353</v>
      </c>
      <c r="U85" s="8"/>
      <c r="V85" s="7">
        <v>567500</v>
      </c>
      <c r="W85" s="7">
        <f t="shared" si="242"/>
        <v>0</v>
      </c>
      <c r="X85" s="7">
        <f t="shared" si="179"/>
        <v>567500</v>
      </c>
      <c r="Y85" s="7">
        <v>0</v>
      </c>
      <c r="Z85" s="7">
        <f t="shared" si="180"/>
        <v>0</v>
      </c>
      <c r="AA85" s="148" t="str">
        <f t="shared" si="181"/>
        <v>5%</v>
      </c>
      <c r="AB85" s="148">
        <f t="shared" si="182"/>
        <v>0.95</v>
      </c>
      <c r="AC85" s="25">
        <v>41085</v>
      </c>
      <c r="AD85" s="25">
        <v>41085</v>
      </c>
      <c r="AE85" s="25">
        <v>41085</v>
      </c>
      <c r="AF85" s="8"/>
      <c r="AG85" s="59" t="str">
        <f t="shared" ca="1" si="183"/>
        <v>NA</v>
      </c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59" t="str">
        <f t="shared" si="228"/>
        <v>NA</v>
      </c>
      <c r="AS85" s="59" t="str">
        <f t="shared" si="229"/>
        <v/>
      </c>
      <c r="AT85" s="59"/>
      <c r="AU85" s="59" t="str">
        <f t="shared" si="162"/>
        <v>ND</v>
      </c>
      <c r="AV85" s="66"/>
      <c r="AW85" s="66"/>
      <c r="AX85" s="66"/>
      <c r="AY85" s="66"/>
      <c r="AZ85" s="8"/>
      <c r="BA85" s="8" t="s">
        <v>37</v>
      </c>
      <c r="BB85" s="8"/>
      <c r="BC85" s="8"/>
      <c r="BD85" s="8"/>
      <c r="BE85" s="8"/>
      <c r="BF85" s="8"/>
      <c r="BG85" s="8"/>
      <c r="BH85" s="8"/>
      <c r="BI85" s="8"/>
      <c r="BJ85" s="8"/>
      <c r="BK85" s="59"/>
      <c r="BL85" s="59"/>
      <c r="BM85" s="59"/>
      <c r="BN85" s="164">
        <v>0.01</v>
      </c>
      <c r="BO85" s="165">
        <f t="shared" si="184"/>
        <v>3783.3333333333335</v>
      </c>
      <c r="BP85" s="165">
        <f t="shared" ref="BP85:BQ85" si="246">BO85</f>
        <v>3783.3333333333335</v>
      </c>
      <c r="BQ85" s="165">
        <f t="shared" si="246"/>
        <v>3783.3333333333335</v>
      </c>
      <c r="BR85" s="59"/>
      <c r="BS85" s="59"/>
      <c r="BT85" s="59"/>
      <c r="BU85" s="59"/>
      <c r="BV85" s="59" t="str">
        <f t="shared" si="223"/>
        <v>ND</v>
      </c>
      <c r="BW85" s="59" t="str">
        <f t="shared" si="224"/>
        <v>ND</v>
      </c>
      <c r="BX85" s="59" t="str">
        <f t="shared" si="225"/>
        <v>ND</v>
      </c>
      <c r="BY85" s="59" t="str">
        <f t="shared" si="226"/>
        <v>ND</v>
      </c>
      <c r="BZ85" s="59" t="str">
        <f t="shared" si="164"/>
        <v>NA</v>
      </c>
      <c r="CA85" s="59" t="str">
        <f t="shared" si="165"/>
        <v/>
      </c>
      <c r="CB85" s="59" t="str">
        <f t="shared" si="166"/>
        <v>NA</v>
      </c>
      <c r="CC85" s="59" t="str">
        <f t="shared" si="167"/>
        <v/>
      </c>
      <c r="CD85" s="59" t="str">
        <f t="shared" si="168"/>
        <v>NA</v>
      </c>
      <c r="CE85" s="59" t="str">
        <f t="shared" si="169"/>
        <v/>
      </c>
      <c r="CF85" s="59" t="str">
        <f t="shared" si="170"/>
        <v>NA</v>
      </c>
      <c r="CG85" s="59" t="str">
        <f t="shared" ca="1" si="171"/>
        <v>NA</v>
      </c>
      <c r="CH85" s="59" t="str">
        <f t="shared" ca="1" si="172"/>
        <v>NA</v>
      </c>
      <c r="CI85" s="59" t="str">
        <f t="shared" ca="1" si="173"/>
        <v>DE 36 A 45 DIAS</v>
      </c>
      <c r="CJ85" s="59" t="str">
        <f t="shared" ca="1" si="174"/>
        <v>DE 36 A 45 DIAS</v>
      </c>
      <c r="CK85" s="59" t="str">
        <f t="shared" ca="1" si="175"/>
        <v>DE 36 A 45 DIAS</v>
      </c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>
        <f t="shared" si="186"/>
        <v>0</v>
      </c>
      <c r="DH85" s="8">
        <f t="shared" si="187"/>
        <v>0</v>
      </c>
      <c r="DI85" s="8">
        <f t="shared" si="188"/>
        <v>0</v>
      </c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59" t="str">
        <f t="shared" si="189"/>
        <v>NA</v>
      </c>
      <c r="DU85" s="59" t="str">
        <f t="shared" si="190"/>
        <v>NA</v>
      </c>
      <c r="DV85" s="59" t="str">
        <f t="shared" si="191"/>
        <v>NA</v>
      </c>
      <c r="DW85" s="59" t="str">
        <f t="shared" si="192"/>
        <v>NA</v>
      </c>
      <c r="DX85" s="59" t="str">
        <f t="shared" si="193"/>
        <v>NA</v>
      </c>
      <c r="DY85" s="59" t="str">
        <f t="shared" si="194"/>
        <v>NA</v>
      </c>
      <c r="DZ85" s="59" t="str">
        <f t="shared" si="195"/>
        <v>NA</v>
      </c>
      <c r="EA85" s="59" t="str">
        <f t="shared" si="196"/>
        <v>NA</v>
      </c>
      <c r="EB85" s="59" t="str">
        <f t="shared" si="197"/>
        <v>NA</v>
      </c>
      <c r="EC85" s="59" t="str">
        <f t="shared" si="198"/>
        <v>NA</v>
      </c>
      <c r="ED85" s="59" t="str">
        <f t="shared" si="199"/>
        <v/>
      </c>
      <c r="EE85" s="59" t="str">
        <f t="shared" si="200"/>
        <v/>
      </c>
      <c r="EF85" s="59" t="str">
        <f t="shared" si="201"/>
        <v/>
      </c>
      <c r="EG85" s="59" t="str">
        <f t="shared" si="202"/>
        <v/>
      </c>
      <c r="EH85" s="59" t="str">
        <f t="shared" si="203"/>
        <v/>
      </c>
      <c r="EI85" s="59" t="str">
        <f t="shared" si="204"/>
        <v/>
      </c>
      <c r="EJ85" s="59" t="str">
        <f t="shared" si="205"/>
        <v/>
      </c>
      <c r="EK85" s="59" t="str">
        <f t="shared" si="206"/>
        <v/>
      </c>
      <c r="EL85" s="59" t="str">
        <f t="shared" si="207"/>
        <v/>
      </c>
      <c r="EM85" s="59" t="str">
        <f t="shared" si="208"/>
        <v/>
      </c>
      <c r="EN85" s="59" t="str">
        <f t="shared" si="209"/>
        <v/>
      </c>
      <c r="EO85" s="59" t="str">
        <f t="shared" si="210"/>
        <v/>
      </c>
      <c r="EP85" s="59" t="str">
        <f t="shared" si="211"/>
        <v/>
      </c>
      <c r="EQ85" s="59" t="str">
        <f t="shared" si="212"/>
        <v/>
      </c>
      <c r="ER85" s="59" t="str">
        <f t="shared" si="213"/>
        <v/>
      </c>
      <c r="ES85" s="59" t="str">
        <f t="shared" si="214"/>
        <v/>
      </c>
      <c r="ET85" s="59" t="str">
        <f t="shared" si="215"/>
        <v/>
      </c>
      <c r="EU85" s="59" t="str">
        <f t="shared" si="216"/>
        <v/>
      </c>
      <c r="EV85" s="59" t="str">
        <f t="shared" si="217"/>
        <v/>
      </c>
      <c r="EW85" s="59" t="str">
        <f t="shared" si="218"/>
        <v/>
      </c>
      <c r="EX85" s="56">
        <f t="shared" si="176"/>
        <v>1135000</v>
      </c>
    </row>
    <row r="86" spans="1:154" x14ac:dyDescent="0.25">
      <c r="A86" s="2">
        <f t="shared" si="219"/>
        <v>85</v>
      </c>
      <c r="B86" s="2" t="s">
        <v>6</v>
      </c>
      <c r="C86" s="2" t="str">
        <f t="shared" si="177"/>
        <v>020614</v>
      </c>
      <c r="D86" s="2">
        <v>2</v>
      </c>
      <c r="E86" s="2">
        <v>6</v>
      </c>
      <c r="F86" s="2">
        <v>14</v>
      </c>
      <c r="G86" s="11" t="s">
        <v>14</v>
      </c>
      <c r="H86" s="4"/>
      <c r="I86" s="42" t="s">
        <v>58</v>
      </c>
      <c r="J86" s="15">
        <v>80</v>
      </c>
      <c r="K86" s="156"/>
      <c r="L86" s="6" t="s">
        <v>306</v>
      </c>
      <c r="M86" s="23" t="s">
        <v>177</v>
      </c>
      <c r="N86" s="7">
        <f t="shared" si="220"/>
        <v>1126000</v>
      </c>
      <c r="O86" s="8">
        <v>124</v>
      </c>
      <c r="P86" s="25">
        <v>41197</v>
      </c>
      <c r="Q86" s="8" t="str">
        <f t="shared" si="178"/>
        <v>2DA-OCT</v>
      </c>
      <c r="R86" s="26">
        <v>0.1</v>
      </c>
      <c r="S86" s="41" t="s">
        <v>34</v>
      </c>
      <c r="T86" s="8" t="s">
        <v>353</v>
      </c>
      <c r="U86" s="8"/>
      <c r="V86" s="7">
        <v>563000</v>
      </c>
      <c r="W86" s="7">
        <f t="shared" si="242"/>
        <v>0</v>
      </c>
      <c r="X86" s="7">
        <f t="shared" si="179"/>
        <v>563000</v>
      </c>
      <c r="Y86" s="7">
        <v>0</v>
      </c>
      <c r="Z86" s="7">
        <f t="shared" si="180"/>
        <v>0</v>
      </c>
      <c r="AA86" s="148" t="str">
        <f t="shared" si="181"/>
        <v>5%</v>
      </c>
      <c r="AB86" s="148">
        <f t="shared" si="182"/>
        <v>0.95</v>
      </c>
      <c r="AC86" s="25">
        <v>41080</v>
      </c>
      <c r="AD86" s="25">
        <v>41080</v>
      </c>
      <c r="AE86" s="25">
        <v>41080</v>
      </c>
      <c r="AF86" s="8"/>
      <c r="AG86" s="59" t="str">
        <f t="shared" ca="1" si="183"/>
        <v>NA</v>
      </c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59" t="str">
        <f t="shared" si="228"/>
        <v>NA</v>
      </c>
      <c r="AS86" s="59" t="str">
        <f t="shared" si="229"/>
        <v/>
      </c>
      <c r="AT86" s="59"/>
      <c r="AU86" s="59" t="str">
        <f t="shared" si="162"/>
        <v>ND</v>
      </c>
      <c r="AV86" s="66"/>
      <c r="AW86" s="66"/>
      <c r="AX86" s="66"/>
      <c r="AY86" s="66"/>
      <c r="AZ86" s="8"/>
      <c r="BA86" s="8" t="s">
        <v>37</v>
      </c>
      <c r="BB86" s="8"/>
      <c r="BC86" s="8"/>
      <c r="BD86" s="8"/>
      <c r="BE86" s="8"/>
      <c r="BF86" s="8"/>
      <c r="BG86" s="8"/>
      <c r="BH86" s="8"/>
      <c r="BI86" s="8"/>
      <c r="BJ86" s="8"/>
      <c r="BK86" s="59"/>
      <c r="BL86" s="59"/>
      <c r="BM86" s="59"/>
      <c r="BN86" s="164">
        <v>0.01</v>
      </c>
      <c r="BO86" s="165">
        <f t="shared" si="184"/>
        <v>3753.3333333333335</v>
      </c>
      <c r="BP86" s="165">
        <f t="shared" ref="BP86:BQ86" si="247">BO86</f>
        <v>3753.3333333333335</v>
      </c>
      <c r="BQ86" s="165">
        <f t="shared" si="247"/>
        <v>3753.3333333333335</v>
      </c>
      <c r="BR86" s="59"/>
      <c r="BS86" s="59"/>
      <c r="BT86" s="59"/>
      <c r="BU86" s="59"/>
      <c r="BV86" s="59" t="str">
        <f t="shared" si="223"/>
        <v>ND</v>
      </c>
      <c r="BW86" s="59" t="str">
        <f t="shared" si="224"/>
        <v>ND</v>
      </c>
      <c r="BX86" s="59" t="str">
        <f t="shared" si="225"/>
        <v>ND</v>
      </c>
      <c r="BY86" s="59" t="str">
        <f t="shared" si="226"/>
        <v>ND</v>
      </c>
      <c r="BZ86" s="59" t="str">
        <f t="shared" si="164"/>
        <v>NA</v>
      </c>
      <c r="CA86" s="59" t="str">
        <f t="shared" si="165"/>
        <v/>
      </c>
      <c r="CB86" s="59" t="str">
        <f t="shared" si="166"/>
        <v>NA</v>
      </c>
      <c r="CC86" s="59" t="str">
        <f t="shared" si="167"/>
        <v/>
      </c>
      <c r="CD86" s="59" t="str">
        <f t="shared" si="168"/>
        <v>NA</v>
      </c>
      <c r="CE86" s="59" t="str">
        <f t="shared" si="169"/>
        <v/>
      </c>
      <c r="CF86" s="59" t="str">
        <f t="shared" si="170"/>
        <v>NA</v>
      </c>
      <c r="CG86" s="59" t="str">
        <f t="shared" ca="1" si="171"/>
        <v>NA</v>
      </c>
      <c r="CH86" s="59" t="str">
        <f t="shared" ca="1" si="172"/>
        <v>NA</v>
      </c>
      <c r="CI86" s="59" t="str">
        <f t="shared" ca="1" si="173"/>
        <v>DE 36 A 45 DIAS</v>
      </c>
      <c r="CJ86" s="59" t="str">
        <f t="shared" ca="1" si="174"/>
        <v>DE 36 A 45 DIAS</v>
      </c>
      <c r="CK86" s="59" t="str">
        <f t="shared" ca="1" si="175"/>
        <v>DE 36 A 45 DIAS</v>
      </c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>
        <f t="shared" si="186"/>
        <v>0</v>
      </c>
      <c r="DH86" s="8">
        <f t="shared" si="187"/>
        <v>0</v>
      </c>
      <c r="DI86" s="8">
        <f t="shared" si="188"/>
        <v>0</v>
      </c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59" t="str">
        <f t="shared" si="189"/>
        <v>NA</v>
      </c>
      <c r="DU86" s="59" t="str">
        <f t="shared" si="190"/>
        <v>NA</v>
      </c>
      <c r="DV86" s="59" t="str">
        <f t="shared" si="191"/>
        <v>NA</v>
      </c>
      <c r="DW86" s="59" t="str">
        <f t="shared" si="192"/>
        <v>NA</v>
      </c>
      <c r="DX86" s="59" t="str">
        <f t="shared" si="193"/>
        <v>NA</v>
      </c>
      <c r="DY86" s="59" t="str">
        <f t="shared" si="194"/>
        <v>NA</v>
      </c>
      <c r="DZ86" s="59" t="str">
        <f t="shared" si="195"/>
        <v>NA</v>
      </c>
      <c r="EA86" s="59" t="str">
        <f t="shared" si="196"/>
        <v>NA</v>
      </c>
      <c r="EB86" s="59" t="str">
        <f t="shared" si="197"/>
        <v>NA</v>
      </c>
      <c r="EC86" s="59" t="str">
        <f t="shared" si="198"/>
        <v>NA</v>
      </c>
      <c r="ED86" s="59" t="str">
        <f t="shared" si="199"/>
        <v/>
      </c>
      <c r="EE86" s="59" t="str">
        <f t="shared" si="200"/>
        <v/>
      </c>
      <c r="EF86" s="59" t="str">
        <f t="shared" si="201"/>
        <v/>
      </c>
      <c r="EG86" s="59" t="str">
        <f t="shared" si="202"/>
        <v/>
      </c>
      <c r="EH86" s="59" t="str">
        <f t="shared" si="203"/>
        <v/>
      </c>
      <c r="EI86" s="59" t="str">
        <f t="shared" si="204"/>
        <v/>
      </c>
      <c r="EJ86" s="59" t="str">
        <f t="shared" si="205"/>
        <v/>
      </c>
      <c r="EK86" s="59" t="str">
        <f t="shared" si="206"/>
        <v/>
      </c>
      <c r="EL86" s="59" t="str">
        <f t="shared" si="207"/>
        <v/>
      </c>
      <c r="EM86" s="59" t="str">
        <f t="shared" si="208"/>
        <v/>
      </c>
      <c r="EN86" s="59" t="str">
        <f t="shared" si="209"/>
        <v/>
      </c>
      <c r="EO86" s="59" t="str">
        <f t="shared" si="210"/>
        <v/>
      </c>
      <c r="EP86" s="59" t="str">
        <f t="shared" si="211"/>
        <v/>
      </c>
      <c r="EQ86" s="59" t="str">
        <f t="shared" si="212"/>
        <v/>
      </c>
      <c r="ER86" s="59" t="str">
        <f t="shared" si="213"/>
        <v/>
      </c>
      <c r="ES86" s="59" t="str">
        <f t="shared" si="214"/>
        <v/>
      </c>
      <c r="ET86" s="59" t="str">
        <f t="shared" si="215"/>
        <v/>
      </c>
      <c r="EU86" s="59" t="str">
        <f t="shared" si="216"/>
        <v/>
      </c>
      <c r="EV86" s="59" t="str">
        <f t="shared" si="217"/>
        <v/>
      </c>
      <c r="EW86" s="59" t="str">
        <f t="shared" si="218"/>
        <v/>
      </c>
      <c r="EX86" s="56">
        <f t="shared" si="176"/>
        <v>1126000</v>
      </c>
    </row>
    <row r="87" spans="1:154" x14ac:dyDescent="0.25">
      <c r="A87" s="2">
        <f t="shared" si="219"/>
        <v>86</v>
      </c>
      <c r="B87" s="2" t="s">
        <v>6</v>
      </c>
      <c r="C87" s="2" t="str">
        <f t="shared" si="177"/>
        <v>020615</v>
      </c>
      <c r="D87" s="2">
        <v>2</v>
      </c>
      <c r="E87" s="2">
        <v>6</v>
      </c>
      <c r="F87" s="2">
        <v>15</v>
      </c>
      <c r="G87" s="11" t="s">
        <v>14</v>
      </c>
      <c r="H87" s="4"/>
      <c r="I87" s="42" t="s">
        <v>58</v>
      </c>
      <c r="J87" s="15">
        <v>80</v>
      </c>
      <c r="K87" s="156"/>
      <c r="L87" s="6" t="s">
        <v>306</v>
      </c>
      <c r="M87" s="23" t="s">
        <v>177</v>
      </c>
      <c r="N87" s="7">
        <f t="shared" si="220"/>
        <v>1126000</v>
      </c>
      <c r="O87" s="8">
        <v>125</v>
      </c>
      <c r="P87" s="25">
        <v>41197</v>
      </c>
      <c r="Q87" s="8" t="str">
        <f t="shared" si="178"/>
        <v>2DA-OCT</v>
      </c>
      <c r="R87" s="26">
        <v>0.1</v>
      </c>
      <c r="S87" s="41" t="s">
        <v>34</v>
      </c>
      <c r="T87" s="8" t="s">
        <v>353</v>
      </c>
      <c r="U87" s="8"/>
      <c r="V87" s="7">
        <v>563000</v>
      </c>
      <c r="W87" s="7">
        <f t="shared" si="242"/>
        <v>0</v>
      </c>
      <c r="X87" s="7">
        <f t="shared" si="179"/>
        <v>563000</v>
      </c>
      <c r="Y87" s="7">
        <v>0</v>
      </c>
      <c r="Z87" s="7">
        <f t="shared" si="180"/>
        <v>0</v>
      </c>
      <c r="AA87" s="148" t="str">
        <f t="shared" si="181"/>
        <v>5%</v>
      </c>
      <c r="AB87" s="148">
        <f t="shared" si="182"/>
        <v>0.95</v>
      </c>
      <c r="AC87" s="25">
        <v>41075</v>
      </c>
      <c r="AD87" s="25">
        <v>41075</v>
      </c>
      <c r="AE87" s="25">
        <v>41075</v>
      </c>
      <c r="AF87" s="8"/>
      <c r="AG87" s="59" t="str">
        <f t="shared" ca="1" si="183"/>
        <v>NA</v>
      </c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59" t="str">
        <f t="shared" si="228"/>
        <v>NA</v>
      </c>
      <c r="AS87" s="59" t="str">
        <f t="shared" si="229"/>
        <v/>
      </c>
      <c r="AT87" s="59"/>
      <c r="AU87" s="59" t="str">
        <f t="shared" si="162"/>
        <v>ND</v>
      </c>
      <c r="AV87" s="66"/>
      <c r="AW87" s="66"/>
      <c r="AX87" s="66"/>
      <c r="AY87" s="66"/>
      <c r="AZ87" s="8"/>
      <c r="BA87" s="8" t="s">
        <v>37</v>
      </c>
      <c r="BB87" s="8"/>
      <c r="BC87" s="8"/>
      <c r="BD87" s="8"/>
      <c r="BE87" s="8"/>
      <c r="BF87" s="8"/>
      <c r="BG87" s="8"/>
      <c r="BH87" s="8"/>
      <c r="BI87" s="8"/>
      <c r="BJ87" s="8"/>
      <c r="BK87" s="59"/>
      <c r="BL87" s="59"/>
      <c r="BM87" s="59"/>
      <c r="BN87" s="164">
        <v>0.01</v>
      </c>
      <c r="BO87" s="165">
        <f t="shared" si="184"/>
        <v>3753.3333333333335</v>
      </c>
      <c r="BP87" s="165">
        <f t="shared" ref="BP87:BQ87" si="248">BO87</f>
        <v>3753.3333333333335</v>
      </c>
      <c r="BQ87" s="165">
        <f t="shared" si="248"/>
        <v>3753.3333333333335</v>
      </c>
      <c r="BR87" s="59"/>
      <c r="BS87" s="59"/>
      <c r="BT87" s="59"/>
      <c r="BU87" s="59"/>
      <c r="BV87" s="59" t="str">
        <f t="shared" si="223"/>
        <v>ND</v>
      </c>
      <c r="BW87" s="59" t="str">
        <f t="shared" si="224"/>
        <v>ND</v>
      </c>
      <c r="BX87" s="59" t="str">
        <f t="shared" si="225"/>
        <v>ND</v>
      </c>
      <c r="BY87" s="59" t="str">
        <f t="shared" si="226"/>
        <v>ND</v>
      </c>
      <c r="BZ87" s="59" t="str">
        <f t="shared" si="164"/>
        <v>NA</v>
      </c>
      <c r="CA87" s="59" t="str">
        <f t="shared" si="165"/>
        <v/>
      </c>
      <c r="CB87" s="59" t="str">
        <f t="shared" si="166"/>
        <v>NA</v>
      </c>
      <c r="CC87" s="59" t="str">
        <f t="shared" si="167"/>
        <v/>
      </c>
      <c r="CD87" s="59" t="str">
        <f t="shared" si="168"/>
        <v>NA</v>
      </c>
      <c r="CE87" s="59" t="str">
        <f t="shared" si="169"/>
        <v/>
      </c>
      <c r="CF87" s="59" t="str">
        <f t="shared" si="170"/>
        <v>NA</v>
      </c>
      <c r="CG87" s="59" t="str">
        <f t="shared" ca="1" si="171"/>
        <v>NA</v>
      </c>
      <c r="CH87" s="59" t="str">
        <f t="shared" ca="1" si="172"/>
        <v>NA</v>
      </c>
      <c r="CI87" s="59" t="str">
        <f t="shared" ca="1" si="173"/>
        <v>MAYOR A 45 DIAS</v>
      </c>
      <c r="CJ87" s="59" t="str">
        <f t="shared" ca="1" si="174"/>
        <v>MAYOR A 45 DIAS</v>
      </c>
      <c r="CK87" s="59" t="str">
        <f t="shared" ca="1" si="175"/>
        <v>MAYOR A 45 DIAS</v>
      </c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>
        <f t="shared" si="186"/>
        <v>0</v>
      </c>
      <c r="DH87" s="8">
        <f t="shared" si="187"/>
        <v>0</v>
      </c>
      <c r="DI87" s="8">
        <f t="shared" si="188"/>
        <v>0</v>
      </c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59" t="str">
        <f t="shared" si="189"/>
        <v>NA</v>
      </c>
      <c r="DU87" s="59" t="str">
        <f t="shared" si="190"/>
        <v>NA</v>
      </c>
      <c r="DV87" s="59" t="str">
        <f t="shared" si="191"/>
        <v>NA</v>
      </c>
      <c r="DW87" s="59" t="str">
        <f t="shared" si="192"/>
        <v>NA</v>
      </c>
      <c r="DX87" s="59" t="str">
        <f t="shared" si="193"/>
        <v>NA</v>
      </c>
      <c r="DY87" s="59" t="str">
        <f t="shared" si="194"/>
        <v>NA</v>
      </c>
      <c r="DZ87" s="59" t="str">
        <f t="shared" si="195"/>
        <v>NA</v>
      </c>
      <c r="EA87" s="59" t="str">
        <f t="shared" si="196"/>
        <v>NA</v>
      </c>
      <c r="EB87" s="59" t="str">
        <f t="shared" si="197"/>
        <v>NA</v>
      </c>
      <c r="EC87" s="59" t="str">
        <f t="shared" si="198"/>
        <v>NA</v>
      </c>
      <c r="ED87" s="59" t="str">
        <f t="shared" si="199"/>
        <v/>
      </c>
      <c r="EE87" s="59" t="str">
        <f t="shared" si="200"/>
        <v/>
      </c>
      <c r="EF87" s="59" t="str">
        <f t="shared" si="201"/>
        <v/>
      </c>
      <c r="EG87" s="59" t="str">
        <f t="shared" si="202"/>
        <v/>
      </c>
      <c r="EH87" s="59" t="str">
        <f t="shared" si="203"/>
        <v/>
      </c>
      <c r="EI87" s="59" t="str">
        <f t="shared" si="204"/>
        <v/>
      </c>
      <c r="EJ87" s="59" t="str">
        <f t="shared" si="205"/>
        <v/>
      </c>
      <c r="EK87" s="59" t="str">
        <f t="shared" si="206"/>
        <v/>
      </c>
      <c r="EL87" s="59" t="str">
        <f t="shared" si="207"/>
        <v/>
      </c>
      <c r="EM87" s="59" t="str">
        <f t="shared" si="208"/>
        <v/>
      </c>
      <c r="EN87" s="59" t="str">
        <f t="shared" si="209"/>
        <v/>
      </c>
      <c r="EO87" s="59" t="str">
        <f t="shared" si="210"/>
        <v/>
      </c>
      <c r="EP87" s="59" t="str">
        <f t="shared" si="211"/>
        <v/>
      </c>
      <c r="EQ87" s="59" t="str">
        <f t="shared" si="212"/>
        <v/>
      </c>
      <c r="ER87" s="59" t="str">
        <f t="shared" si="213"/>
        <v/>
      </c>
      <c r="ES87" s="59" t="str">
        <f t="shared" si="214"/>
        <v/>
      </c>
      <c r="ET87" s="59" t="str">
        <f t="shared" si="215"/>
        <v/>
      </c>
      <c r="EU87" s="59" t="str">
        <f t="shared" si="216"/>
        <v/>
      </c>
      <c r="EV87" s="59" t="str">
        <f t="shared" si="217"/>
        <v/>
      </c>
      <c r="EW87" s="59" t="str">
        <f t="shared" si="218"/>
        <v/>
      </c>
      <c r="EX87" s="56">
        <f t="shared" si="176"/>
        <v>1126000</v>
      </c>
    </row>
    <row r="88" spans="1:154" x14ac:dyDescent="0.25">
      <c r="A88" s="2">
        <f t="shared" si="219"/>
        <v>87</v>
      </c>
      <c r="B88" s="2" t="s">
        <v>6</v>
      </c>
      <c r="C88" s="2" t="str">
        <f t="shared" si="177"/>
        <v>020606</v>
      </c>
      <c r="D88" s="2">
        <v>2</v>
      </c>
      <c r="E88" s="2">
        <v>6</v>
      </c>
      <c r="F88" s="2">
        <v>6</v>
      </c>
      <c r="G88" s="11" t="s">
        <v>14</v>
      </c>
      <c r="H88" s="4"/>
      <c r="I88" s="42" t="s">
        <v>58</v>
      </c>
      <c r="J88" s="15">
        <v>80</v>
      </c>
      <c r="K88" s="15"/>
      <c r="L88" s="10" t="s">
        <v>8</v>
      </c>
      <c r="M88" s="23" t="s">
        <v>177</v>
      </c>
      <c r="N88" s="7">
        <f t="shared" si="220"/>
        <v>1135000</v>
      </c>
      <c r="O88" s="8">
        <v>126</v>
      </c>
      <c r="P88" s="25">
        <v>41197</v>
      </c>
      <c r="Q88" s="8" t="str">
        <f t="shared" si="178"/>
        <v>2DA-OCT</v>
      </c>
      <c r="R88" s="26">
        <v>0.1</v>
      </c>
      <c r="S88" s="41" t="s">
        <v>34</v>
      </c>
      <c r="T88" s="8" t="s">
        <v>353</v>
      </c>
      <c r="U88" s="8"/>
      <c r="V88" s="7">
        <v>567500</v>
      </c>
      <c r="W88" s="7">
        <f t="shared" si="242"/>
        <v>0</v>
      </c>
      <c r="X88" s="7">
        <f t="shared" si="179"/>
        <v>567500</v>
      </c>
      <c r="Y88" s="7">
        <v>0</v>
      </c>
      <c r="Z88" s="7">
        <f t="shared" si="180"/>
        <v>0</v>
      </c>
      <c r="AA88" s="148" t="str">
        <f t="shared" si="181"/>
        <v>5%</v>
      </c>
      <c r="AB88" s="148">
        <f t="shared" si="182"/>
        <v>0.95</v>
      </c>
      <c r="AC88" s="25">
        <f ca="1">TODAY()-4</f>
        <v>41118</v>
      </c>
      <c r="AD88" s="25">
        <f t="shared" ref="AD88:AE88" ca="1" si="249">TODAY()-4</f>
        <v>41118</v>
      </c>
      <c r="AE88" s="25">
        <f t="shared" ca="1" si="249"/>
        <v>41118</v>
      </c>
      <c r="AF88" s="8"/>
      <c r="AG88" s="59" t="str">
        <f t="shared" ca="1" si="183"/>
        <v>NA</v>
      </c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59" t="str">
        <f t="shared" si="228"/>
        <v>NA</v>
      </c>
      <c r="AS88" s="59" t="str">
        <f t="shared" si="229"/>
        <v/>
      </c>
      <c r="AT88" s="59"/>
      <c r="AU88" s="59" t="str">
        <f t="shared" si="162"/>
        <v>ND</v>
      </c>
      <c r="AV88" s="66"/>
      <c r="AW88" s="66"/>
      <c r="AX88" s="66"/>
      <c r="AY88" s="66"/>
      <c r="AZ88" s="8"/>
      <c r="BA88" s="8" t="s">
        <v>37</v>
      </c>
      <c r="BB88" s="8"/>
      <c r="BC88" s="8"/>
      <c r="BD88" s="8"/>
      <c r="BE88" s="8"/>
      <c r="BF88" s="8"/>
      <c r="BG88" s="8"/>
      <c r="BH88" s="8"/>
      <c r="BI88" s="8"/>
      <c r="BJ88" s="8"/>
      <c r="BK88" s="59"/>
      <c r="BL88" s="59"/>
      <c r="BM88" s="59"/>
      <c r="BN88" s="164">
        <v>0.01</v>
      </c>
      <c r="BO88" s="165">
        <f t="shared" si="184"/>
        <v>3783.3333333333335</v>
      </c>
      <c r="BP88" s="165">
        <f t="shared" ref="BP88:BQ88" si="250">BO88</f>
        <v>3783.3333333333335</v>
      </c>
      <c r="BQ88" s="165">
        <f t="shared" si="250"/>
        <v>3783.3333333333335</v>
      </c>
      <c r="BR88" s="59"/>
      <c r="BS88" s="59"/>
      <c r="BT88" s="59"/>
      <c r="BU88" s="59"/>
      <c r="BV88" s="59" t="str">
        <f t="shared" si="223"/>
        <v>ND</v>
      </c>
      <c r="BW88" s="59" t="str">
        <f t="shared" si="224"/>
        <v>ND</v>
      </c>
      <c r="BX88" s="59" t="str">
        <f t="shared" si="225"/>
        <v>ND</v>
      </c>
      <c r="BY88" s="59" t="str">
        <f t="shared" si="226"/>
        <v>ND</v>
      </c>
      <c r="BZ88" s="59" t="str">
        <f t="shared" si="164"/>
        <v>NA</v>
      </c>
      <c r="CA88" s="59" t="str">
        <f t="shared" si="165"/>
        <v/>
      </c>
      <c r="CB88" s="59" t="str">
        <f t="shared" si="166"/>
        <v>NA</v>
      </c>
      <c r="CC88" s="59" t="str">
        <f t="shared" si="167"/>
        <v/>
      </c>
      <c r="CD88" s="59" t="str">
        <f t="shared" si="168"/>
        <v>NA</v>
      </c>
      <c r="CE88" s="59" t="str">
        <f t="shared" si="169"/>
        <v/>
      </c>
      <c r="CF88" s="59" t="str">
        <f t="shared" si="170"/>
        <v>NA</v>
      </c>
      <c r="CG88" s="59" t="str">
        <f t="shared" ca="1" si="171"/>
        <v>NA</v>
      </c>
      <c r="CH88" s="59" t="str">
        <f t="shared" ca="1" si="172"/>
        <v>NA</v>
      </c>
      <c r="CI88" s="59" t="str">
        <f t="shared" ca="1" si="173"/>
        <v>HASTA 5 DIAS</v>
      </c>
      <c r="CJ88" s="59" t="str">
        <f t="shared" ca="1" si="174"/>
        <v>HASTA 5 DIAS</v>
      </c>
      <c r="CK88" s="59" t="str">
        <f t="shared" ca="1" si="175"/>
        <v>HASTA 5 DIAS</v>
      </c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>
        <f t="shared" si="186"/>
        <v>0</v>
      </c>
      <c r="DH88" s="8">
        <f t="shared" si="187"/>
        <v>0</v>
      </c>
      <c r="DI88" s="8">
        <f t="shared" si="188"/>
        <v>0</v>
      </c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59" t="str">
        <f t="shared" si="189"/>
        <v>NA</v>
      </c>
      <c r="DU88" s="59" t="str">
        <f t="shared" si="190"/>
        <v>NA</v>
      </c>
      <c r="DV88" s="59" t="str">
        <f t="shared" si="191"/>
        <v>NA</v>
      </c>
      <c r="DW88" s="59" t="str">
        <f t="shared" si="192"/>
        <v>NA</v>
      </c>
      <c r="DX88" s="59" t="str">
        <f t="shared" si="193"/>
        <v>NA</v>
      </c>
      <c r="DY88" s="59" t="str">
        <f t="shared" si="194"/>
        <v>NA</v>
      </c>
      <c r="DZ88" s="59" t="str">
        <f t="shared" si="195"/>
        <v>NA</v>
      </c>
      <c r="EA88" s="59" t="str">
        <f t="shared" si="196"/>
        <v>NA</v>
      </c>
      <c r="EB88" s="59" t="str">
        <f t="shared" si="197"/>
        <v>NA</v>
      </c>
      <c r="EC88" s="59" t="str">
        <f t="shared" si="198"/>
        <v>NA</v>
      </c>
      <c r="ED88" s="59" t="str">
        <f t="shared" si="199"/>
        <v/>
      </c>
      <c r="EE88" s="59" t="str">
        <f t="shared" si="200"/>
        <v/>
      </c>
      <c r="EF88" s="59" t="str">
        <f t="shared" si="201"/>
        <v/>
      </c>
      <c r="EG88" s="59" t="str">
        <f t="shared" si="202"/>
        <v/>
      </c>
      <c r="EH88" s="59" t="str">
        <f t="shared" si="203"/>
        <v/>
      </c>
      <c r="EI88" s="59" t="str">
        <f t="shared" si="204"/>
        <v/>
      </c>
      <c r="EJ88" s="59" t="str">
        <f t="shared" si="205"/>
        <v/>
      </c>
      <c r="EK88" s="59" t="str">
        <f t="shared" si="206"/>
        <v/>
      </c>
      <c r="EL88" s="59" t="str">
        <f t="shared" si="207"/>
        <v/>
      </c>
      <c r="EM88" s="59" t="str">
        <f t="shared" si="208"/>
        <v/>
      </c>
      <c r="EN88" s="59" t="str">
        <f t="shared" si="209"/>
        <v/>
      </c>
      <c r="EO88" s="59" t="str">
        <f t="shared" si="210"/>
        <v/>
      </c>
      <c r="EP88" s="59" t="str">
        <f t="shared" si="211"/>
        <v/>
      </c>
      <c r="EQ88" s="59" t="str">
        <f t="shared" si="212"/>
        <v/>
      </c>
      <c r="ER88" s="59" t="str">
        <f t="shared" si="213"/>
        <v/>
      </c>
      <c r="ES88" s="59" t="str">
        <f t="shared" si="214"/>
        <v/>
      </c>
      <c r="ET88" s="59" t="str">
        <f t="shared" si="215"/>
        <v/>
      </c>
      <c r="EU88" s="59" t="str">
        <f t="shared" si="216"/>
        <v/>
      </c>
      <c r="EV88" s="59" t="str">
        <f t="shared" si="217"/>
        <v/>
      </c>
      <c r="EW88" s="59" t="str">
        <f t="shared" si="218"/>
        <v/>
      </c>
      <c r="EX88" s="56">
        <f t="shared" si="176"/>
        <v>1135000</v>
      </c>
    </row>
    <row r="89" spans="1:154" x14ac:dyDescent="0.25">
      <c r="A89" s="2">
        <f t="shared" si="219"/>
        <v>88</v>
      </c>
      <c r="B89" s="2" t="s">
        <v>6</v>
      </c>
      <c r="C89" s="2" t="str">
        <f t="shared" si="177"/>
        <v>020617</v>
      </c>
      <c r="D89" s="2">
        <v>2</v>
      </c>
      <c r="E89" s="2">
        <v>6</v>
      </c>
      <c r="F89" s="2">
        <v>17</v>
      </c>
      <c r="G89" s="11" t="s">
        <v>14</v>
      </c>
      <c r="H89" s="4"/>
      <c r="I89" s="42" t="s">
        <v>58</v>
      </c>
      <c r="J89" s="15">
        <v>80</v>
      </c>
      <c r="K89" s="156"/>
      <c r="L89" s="6" t="s">
        <v>306</v>
      </c>
      <c r="M89" s="23" t="s">
        <v>177</v>
      </c>
      <c r="N89" s="7">
        <f t="shared" si="220"/>
        <v>1126000</v>
      </c>
      <c r="O89" s="8">
        <v>127</v>
      </c>
      <c r="P89" s="25">
        <v>41197</v>
      </c>
      <c r="Q89" s="8" t="str">
        <f t="shared" si="178"/>
        <v>2DA-OCT</v>
      </c>
      <c r="R89" s="26">
        <v>0.1</v>
      </c>
      <c r="S89" s="41" t="s">
        <v>34</v>
      </c>
      <c r="T89" s="8" t="s">
        <v>353</v>
      </c>
      <c r="U89" s="8"/>
      <c r="V89" s="7">
        <v>563000</v>
      </c>
      <c r="W89" s="7">
        <f t="shared" si="242"/>
        <v>0</v>
      </c>
      <c r="X89" s="7">
        <f t="shared" si="179"/>
        <v>563000</v>
      </c>
      <c r="Y89" s="7">
        <v>0</v>
      </c>
      <c r="Z89" s="7">
        <f t="shared" si="180"/>
        <v>0</v>
      </c>
      <c r="AA89" s="148" t="str">
        <f t="shared" si="181"/>
        <v>5%</v>
      </c>
      <c r="AB89" s="148">
        <f t="shared" si="182"/>
        <v>0.95</v>
      </c>
      <c r="AC89" s="25">
        <f ca="1">TODAY()-9</f>
        <v>41113</v>
      </c>
      <c r="AD89" s="25">
        <f t="shared" ref="AD89:AE89" ca="1" si="251">TODAY()-9</f>
        <v>41113</v>
      </c>
      <c r="AE89" s="25">
        <f t="shared" ca="1" si="251"/>
        <v>41113</v>
      </c>
      <c r="AF89" s="8"/>
      <c r="AG89" s="59" t="str">
        <f t="shared" ca="1" si="183"/>
        <v>NA</v>
      </c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59" t="str">
        <f t="shared" si="228"/>
        <v>NA</v>
      </c>
      <c r="AS89" s="59" t="str">
        <f t="shared" si="229"/>
        <v/>
      </c>
      <c r="AT89" s="59"/>
      <c r="AU89" s="59" t="str">
        <f t="shared" si="162"/>
        <v>ND</v>
      </c>
      <c r="AV89" s="66"/>
      <c r="AW89" s="66"/>
      <c r="AX89" s="66"/>
      <c r="AY89" s="66"/>
      <c r="AZ89" s="8"/>
      <c r="BA89" s="8" t="s">
        <v>37</v>
      </c>
      <c r="BB89" s="8"/>
      <c r="BC89" s="8"/>
      <c r="BD89" s="8"/>
      <c r="BE89" s="8"/>
      <c r="BF89" s="8"/>
      <c r="BG89" s="8"/>
      <c r="BH89" s="8"/>
      <c r="BI89" s="8"/>
      <c r="BJ89" s="8"/>
      <c r="BK89" s="59"/>
      <c r="BL89" s="59"/>
      <c r="BM89" s="59"/>
      <c r="BN89" s="164">
        <v>0.01</v>
      </c>
      <c r="BO89" s="165">
        <f t="shared" si="184"/>
        <v>3753.3333333333335</v>
      </c>
      <c r="BP89" s="165">
        <f t="shared" ref="BP89:BQ89" si="252">BO89</f>
        <v>3753.3333333333335</v>
      </c>
      <c r="BQ89" s="165">
        <f t="shared" si="252"/>
        <v>3753.3333333333335</v>
      </c>
      <c r="BR89" s="59"/>
      <c r="BS89" s="59"/>
      <c r="BT89" s="59"/>
      <c r="BU89" s="59"/>
      <c r="BV89" s="59" t="str">
        <f t="shared" si="223"/>
        <v>ND</v>
      </c>
      <c r="BW89" s="59" t="str">
        <f t="shared" si="224"/>
        <v>ND</v>
      </c>
      <c r="BX89" s="59" t="str">
        <f t="shared" si="225"/>
        <v>ND</v>
      </c>
      <c r="BY89" s="59" t="str">
        <f t="shared" si="226"/>
        <v>ND</v>
      </c>
      <c r="BZ89" s="59" t="str">
        <f t="shared" si="164"/>
        <v>NA</v>
      </c>
      <c r="CA89" s="59" t="str">
        <f t="shared" si="165"/>
        <v/>
      </c>
      <c r="CB89" s="59" t="str">
        <f t="shared" si="166"/>
        <v>NA</v>
      </c>
      <c r="CC89" s="59" t="str">
        <f t="shared" si="167"/>
        <v/>
      </c>
      <c r="CD89" s="59" t="str">
        <f t="shared" si="168"/>
        <v>NA</v>
      </c>
      <c r="CE89" s="59" t="str">
        <f t="shared" si="169"/>
        <v/>
      </c>
      <c r="CF89" s="59" t="str">
        <f t="shared" si="170"/>
        <v>NA</v>
      </c>
      <c r="CG89" s="59" t="str">
        <f t="shared" ca="1" si="171"/>
        <v>NA</v>
      </c>
      <c r="CH89" s="59" t="str">
        <f t="shared" ca="1" si="172"/>
        <v>NA</v>
      </c>
      <c r="CI89" s="59" t="str">
        <f t="shared" ca="1" si="173"/>
        <v>DE 6 A 10 DIAS</v>
      </c>
      <c r="CJ89" s="59" t="str">
        <f t="shared" ca="1" si="174"/>
        <v>DE 6 A 10 DIAS</v>
      </c>
      <c r="CK89" s="59" t="str">
        <f t="shared" ca="1" si="175"/>
        <v>DE 6 A 10 DIAS</v>
      </c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>
        <f t="shared" si="186"/>
        <v>0</v>
      </c>
      <c r="DH89" s="8">
        <f t="shared" si="187"/>
        <v>0</v>
      </c>
      <c r="DI89" s="8">
        <f t="shared" si="188"/>
        <v>0</v>
      </c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59" t="str">
        <f t="shared" si="189"/>
        <v>NA</v>
      </c>
      <c r="DU89" s="59" t="str">
        <f t="shared" si="190"/>
        <v>NA</v>
      </c>
      <c r="DV89" s="59" t="str">
        <f t="shared" si="191"/>
        <v>NA</v>
      </c>
      <c r="DW89" s="59" t="str">
        <f t="shared" si="192"/>
        <v>NA</v>
      </c>
      <c r="DX89" s="59" t="str">
        <f t="shared" si="193"/>
        <v>NA</v>
      </c>
      <c r="DY89" s="59" t="str">
        <f t="shared" si="194"/>
        <v>NA</v>
      </c>
      <c r="DZ89" s="59" t="str">
        <f t="shared" si="195"/>
        <v>NA</v>
      </c>
      <c r="EA89" s="59" t="str">
        <f t="shared" si="196"/>
        <v>NA</v>
      </c>
      <c r="EB89" s="59" t="str">
        <f t="shared" si="197"/>
        <v>NA</v>
      </c>
      <c r="EC89" s="59" t="str">
        <f t="shared" si="198"/>
        <v>NA</v>
      </c>
      <c r="ED89" s="59" t="str">
        <f t="shared" si="199"/>
        <v/>
      </c>
      <c r="EE89" s="59" t="str">
        <f t="shared" si="200"/>
        <v/>
      </c>
      <c r="EF89" s="59" t="str">
        <f t="shared" si="201"/>
        <v/>
      </c>
      <c r="EG89" s="59" t="str">
        <f t="shared" si="202"/>
        <v/>
      </c>
      <c r="EH89" s="59" t="str">
        <f t="shared" si="203"/>
        <v/>
      </c>
      <c r="EI89" s="59" t="str">
        <f t="shared" si="204"/>
        <v/>
      </c>
      <c r="EJ89" s="59" t="str">
        <f t="shared" si="205"/>
        <v/>
      </c>
      <c r="EK89" s="59" t="str">
        <f t="shared" si="206"/>
        <v/>
      </c>
      <c r="EL89" s="59" t="str">
        <f t="shared" si="207"/>
        <v/>
      </c>
      <c r="EM89" s="59" t="str">
        <f t="shared" si="208"/>
        <v/>
      </c>
      <c r="EN89" s="59" t="str">
        <f t="shared" si="209"/>
        <v/>
      </c>
      <c r="EO89" s="59" t="str">
        <f t="shared" si="210"/>
        <v/>
      </c>
      <c r="EP89" s="59" t="str">
        <f t="shared" si="211"/>
        <v/>
      </c>
      <c r="EQ89" s="59" t="str">
        <f t="shared" si="212"/>
        <v/>
      </c>
      <c r="ER89" s="59" t="str">
        <f t="shared" si="213"/>
        <v/>
      </c>
      <c r="ES89" s="59" t="str">
        <f t="shared" si="214"/>
        <v/>
      </c>
      <c r="ET89" s="59" t="str">
        <f t="shared" si="215"/>
        <v/>
      </c>
      <c r="EU89" s="59" t="str">
        <f t="shared" si="216"/>
        <v/>
      </c>
      <c r="EV89" s="59" t="str">
        <f t="shared" si="217"/>
        <v/>
      </c>
      <c r="EW89" s="59" t="str">
        <f t="shared" si="218"/>
        <v/>
      </c>
      <c r="EX89" s="56">
        <f t="shared" si="176"/>
        <v>1126000</v>
      </c>
    </row>
    <row r="90" spans="1:154" x14ac:dyDescent="0.25">
      <c r="A90" s="2">
        <f t="shared" si="219"/>
        <v>89</v>
      </c>
      <c r="B90" s="2" t="s">
        <v>6</v>
      </c>
      <c r="C90" s="2" t="str">
        <f t="shared" si="177"/>
        <v>020618</v>
      </c>
      <c r="D90" s="2">
        <v>2</v>
      </c>
      <c r="E90" s="2">
        <v>6</v>
      </c>
      <c r="F90" s="2">
        <v>18</v>
      </c>
      <c r="G90" s="11" t="s">
        <v>14</v>
      </c>
      <c r="H90" s="4"/>
      <c r="I90" s="42" t="s">
        <v>58</v>
      </c>
      <c r="J90" s="15">
        <v>80</v>
      </c>
      <c r="K90" s="156"/>
      <c r="L90" s="6" t="s">
        <v>306</v>
      </c>
      <c r="M90" s="23" t="s">
        <v>177</v>
      </c>
      <c r="N90" s="7">
        <f t="shared" si="220"/>
        <v>1126000</v>
      </c>
      <c r="O90" s="8">
        <v>128</v>
      </c>
      <c r="P90" s="25">
        <v>41197</v>
      </c>
      <c r="Q90" s="8" t="str">
        <f t="shared" si="178"/>
        <v>2DA-OCT</v>
      </c>
      <c r="R90" s="26">
        <v>0.1</v>
      </c>
      <c r="S90" s="41" t="s">
        <v>34</v>
      </c>
      <c r="T90" s="8" t="s">
        <v>353</v>
      </c>
      <c r="U90" s="8"/>
      <c r="V90" s="7">
        <v>563000</v>
      </c>
      <c r="W90" s="7">
        <f t="shared" si="242"/>
        <v>0</v>
      </c>
      <c r="X90" s="7">
        <f t="shared" si="179"/>
        <v>563000</v>
      </c>
      <c r="Y90" s="7">
        <v>0</v>
      </c>
      <c r="Z90" s="7">
        <f t="shared" si="180"/>
        <v>0</v>
      </c>
      <c r="AA90" s="148" t="str">
        <f t="shared" si="181"/>
        <v>5%</v>
      </c>
      <c r="AB90" s="148">
        <f t="shared" si="182"/>
        <v>0.95</v>
      </c>
      <c r="AC90" s="25">
        <f ca="1">TODAY()-14</f>
        <v>41108</v>
      </c>
      <c r="AD90" s="25">
        <f t="shared" ref="AD90:AE90" ca="1" si="253">TODAY()-14</f>
        <v>41108</v>
      </c>
      <c r="AE90" s="25">
        <f t="shared" ca="1" si="253"/>
        <v>41108</v>
      </c>
      <c r="AF90" s="8"/>
      <c r="AG90" s="59" t="str">
        <f t="shared" ca="1" si="183"/>
        <v>NA</v>
      </c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59" t="str">
        <f t="shared" si="228"/>
        <v>NA</v>
      </c>
      <c r="AS90" s="59" t="str">
        <f t="shared" si="229"/>
        <v/>
      </c>
      <c r="AT90" s="59"/>
      <c r="AU90" s="59" t="str">
        <f t="shared" si="162"/>
        <v>ND</v>
      </c>
      <c r="AV90" s="66"/>
      <c r="AW90" s="66"/>
      <c r="AX90" s="66"/>
      <c r="AY90" s="66"/>
      <c r="AZ90" s="8"/>
      <c r="BA90" s="8" t="s">
        <v>37</v>
      </c>
      <c r="BB90" s="8"/>
      <c r="BC90" s="8"/>
      <c r="BD90" s="8"/>
      <c r="BE90" s="8"/>
      <c r="BF90" s="8"/>
      <c r="BG90" s="8"/>
      <c r="BH90" s="8"/>
      <c r="BI90" s="8"/>
      <c r="BJ90" s="8"/>
      <c r="BK90" s="59"/>
      <c r="BL90" s="59"/>
      <c r="BM90" s="59"/>
      <c r="BN90" s="164">
        <v>0.01</v>
      </c>
      <c r="BO90" s="165">
        <f t="shared" si="184"/>
        <v>3753.3333333333335</v>
      </c>
      <c r="BP90" s="165">
        <f t="shared" ref="BP90:BQ90" si="254">BO90</f>
        <v>3753.3333333333335</v>
      </c>
      <c r="BQ90" s="165">
        <f t="shared" si="254"/>
        <v>3753.3333333333335</v>
      </c>
      <c r="BR90" s="59"/>
      <c r="BS90" s="59"/>
      <c r="BT90" s="59"/>
      <c r="BU90" s="59"/>
      <c r="BV90" s="59" t="str">
        <f t="shared" si="223"/>
        <v>ND</v>
      </c>
      <c r="BW90" s="59" t="str">
        <f t="shared" si="224"/>
        <v>ND</v>
      </c>
      <c r="BX90" s="59" t="str">
        <f t="shared" si="225"/>
        <v>ND</v>
      </c>
      <c r="BY90" s="59" t="str">
        <f t="shared" si="226"/>
        <v>ND</v>
      </c>
      <c r="BZ90" s="59" t="str">
        <f t="shared" si="164"/>
        <v>NA</v>
      </c>
      <c r="CA90" s="59" t="str">
        <f t="shared" si="165"/>
        <v/>
      </c>
      <c r="CB90" s="59" t="str">
        <f t="shared" si="166"/>
        <v>NA</v>
      </c>
      <c r="CC90" s="59" t="str">
        <f t="shared" si="167"/>
        <v/>
      </c>
      <c r="CD90" s="59" t="str">
        <f t="shared" si="168"/>
        <v>NA</v>
      </c>
      <c r="CE90" s="59" t="str">
        <f t="shared" si="169"/>
        <v/>
      </c>
      <c r="CF90" s="59" t="str">
        <f t="shared" si="170"/>
        <v>NA</v>
      </c>
      <c r="CG90" s="59" t="str">
        <f t="shared" ca="1" si="171"/>
        <v>NA</v>
      </c>
      <c r="CH90" s="59" t="str">
        <f t="shared" ca="1" si="172"/>
        <v>NA</v>
      </c>
      <c r="CI90" s="59" t="str">
        <f t="shared" ca="1" si="173"/>
        <v>DE 11 A 15 DIAS</v>
      </c>
      <c r="CJ90" s="59" t="str">
        <f t="shared" ca="1" si="174"/>
        <v>DE 11 A 15 DIAS</v>
      </c>
      <c r="CK90" s="59" t="str">
        <f t="shared" ca="1" si="175"/>
        <v>DE 11 A 15 DIAS</v>
      </c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>
        <f t="shared" si="186"/>
        <v>0</v>
      </c>
      <c r="DH90" s="8">
        <f t="shared" si="187"/>
        <v>0</v>
      </c>
      <c r="DI90" s="8">
        <f t="shared" si="188"/>
        <v>0</v>
      </c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59" t="str">
        <f t="shared" si="189"/>
        <v>NA</v>
      </c>
      <c r="DU90" s="59" t="str">
        <f t="shared" si="190"/>
        <v>NA</v>
      </c>
      <c r="DV90" s="59" t="str">
        <f t="shared" si="191"/>
        <v>NA</v>
      </c>
      <c r="DW90" s="59" t="str">
        <f t="shared" si="192"/>
        <v>NA</v>
      </c>
      <c r="DX90" s="59" t="str">
        <f t="shared" si="193"/>
        <v>NA</v>
      </c>
      <c r="DY90" s="59" t="str">
        <f t="shared" si="194"/>
        <v>NA</v>
      </c>
      <c r="DZ90" s="59" t="str">
        <f t="shared" si="195"/>
        <v>NA</v>
      </c>
      <c r="EA90" s="59" t="str">
        <f t="shared" si="196"/>
        <v>NA</v>
      </c>
      <c r="EB90" s="59" t="str">
        <f t="shared" si="197"/>
        <v>NA</v>
      </c>
      <c r="EC90" s="59" t="str">
        <f t="shared" si="198"/>
        <v>NA</v>
      </c>
      <c r="ED90" s="59" t="str">
        <f t="shared" si="199"/>
        <v/>
      </c>
      <c r="EE90" s="59" t="str">
        <f t="shared" si="200"/>
        <v/>
      </c>
      <c r="EF90" s="59" t="str">
        <f t="shared" si="201"/>
        <v/>
      </c>
      <c r="EG90" s="59" t="str">
        <f t="shared" si="202"/>
        <v/>
      </c>
      <c r="EH90" s="59" t="str">
        <f t="shared" si="203"/>
        <v/>
      </c>
      <c r="EI90" s="59" t="str">
        <f t="shared" si="204"/>
        <v/>
      </c>
      <c r="EJ90" s="59" t="str">
        <f t="shared" si="205"/>
        <v/>
      </c>
      <c r="EK90" s="59" t="str">
        <f t="shared" si="206"/>
        <v/>
      </c>
      <c r="EL90" s="59" t="str">
        <f t="shared" si="207"/>
        <v/>
      </c>
      <c r="EM90" s="59" t="str">
        <f t="shared" si="208"/>
        <v/>
      </c>
      <c r="EN90" s="59" t="str">
        <f t="shared" si="209"/>
        <v/>
      </c>
      <c r="EO90" s="59" t="str">
        <f t="shared" si="210"/>
        <v/>
      </c>
      <c r="EP90" s="59" t="str">
        <f t="shared" si="211"/>
        <v/>
      </c>
      <c r="EQ90" s="59" t="str">
        <f t="shared" si="212"/>
        <v/>
      </c>
      <c r="ER90" s="59" t="str">
        <f t="shared" si="213"/>
        <v/>
      </c>
      <c r="ES90" s="59" t="str">
        <f t="shared" si="214"/>
        <v/>
      </c>
      <c r="ET90" s="59" t="str">
        <f t="shared" si="215"/>
        <v/>
      </c>
      <c r="EU90" s="59" t="str">
        <f t="shared" si="216"/>
        <v/>
      </c>
      <c r="EV90" s="59" t="str">
        <f t="shared" si="217"/>
        <v/>
      </c>
      <c r="EW90" s="59" t="str">
        <f t="shared" si="218"/>
        <v/>
      </c>
      <c r="EX90" s="56">
        <f t="shared" si="176"/>
        <v>1126000</v>
      </c>
    </row>
    <row r="91" spans="1:154" x14ac:dyDescent="0.25">
      <c r="A91" s="2">
        <f t="shared" si="219"/>
        <v>90</v>
      </c>
      <c r="B91" s="2" t="s">
        <v>6</v>
      </c>
      <c r="C91" s="2" t="str">
        <f t="shared" si="177"/>
        <v>020619</v>
      </c>
      <c r="D91" s="2">
        <v>2</v>
      </c>
      <c r="E91" s="2">
        <v>6</v>
      </c>
      <c r="F91" s="2">
        <v>19</v>
      </c>
      <c r="G91" s="11" t="s">
        <v>14</v>
      </c>
      <c r="H91" s="4"/>
      <c r="I91" s="42" t="s">
        <v>58</v>
      </c>
      <c r="J91" s="15">
        <v>80</v>
      </c>
      <c r="K91" s="15"/>
      <c r="L91" s="10" t="s">
        <v>8</v>
      </c>
      <c r="M91" s="23" t="s">
        <v>177</v>
      </c>
      <c r="N91" s="7">
        <f t="shared" si="220"/>
        <v>1135000</v>
      </c>
      <c r="O91" s="8">
        <v>129</v>
      </c>
      <c r="P91" s="25">
        <v>41197</v>
      </c>
      <c r="Q91" s="8" t="str">
        <f t="shared" si="178"/>
        <v>2DA-OCT</v>
      </c>
      <c r="R91" s="26">
        <v>0.1</v>
      </c>
      <c r="S91" s="41" t="s">
        <v>34</v>
      </c>
      <c r="T91" s="8" t="s">
        <v>353</v>
      </c>
      <c r="U91" s="8"/>
      <c r="V91" s="7">
        <v>567500</v>
      </c>
      <c r="W91" s="7">
        <f t="shared" si="242"/>
        <v>0</v>
      </c>
      <c r="X91" s="7">
        <f t="shared" si="179"/>
        <v>567500</v>
      </c>
      <c r="Y91" s="7">
        <v>0</v>
      </c>
      <c r="Z91" s="7">
        <f t="shared" si="180"/>
        <v>0</v>
      </c>
      <c r="AA91" s="148" t="str">
        <f t="shared" si="181"/>
        <v>5%</v>
      </c>
      <c r="AB91" s="148">
        <f t="shared" si="182"/>
        <v>0.95</v>
      </c>
      <c r="AC91" s="25">
        <f ca="1">TODAY()-19</f>
        <v>41103</v>
      </c>
      <c r="AD91" s="25">
        <f t="shared" ref="AD91:AE91" ca="1" si="255">TODAY()-19</f>
        <v>41103</v>
      </c>
      <c r="AE91" s="25">
        <f t="shared" ca="1" si="255"/>
        <v>41103</v>
      </c>
      <c r="AF91" s="8"/>
      <c r="AG91" s="59" t="str">
        <f t="shared" ca="1" si="183"/>
        <v>NA</v>
      </c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59" t="str">
        <f t="shared" si="228"/>
        <v>NA</v>
      </c>
      <c r="AS91" s="59" t="str">
        <f t="shared" si="229"/>
        <v/>
      </c>
      <c r="AT91" s="59"/>
      <c r="AU91" s="59" t="str">
        <f t="shared" si="162"/>
        <v>ND</v>
      </c>
      <c r="AV91" s="66"/>
      <c r="AW91" s="66"/>
      <c r="AX91" s="66"/>
      <c r="AY91" s="66"/>
      <c r="AZ91" s="8"/>
      <c r="BA91" s="8" t="s">
        <v>37</v>
      </c>
      <c r="BB91" s="8"/>
      <c r="BC91" s="8"/>
      <c r="BD91" s="8"/>
      <c r="BE91" s="8"/>
      <c r="BF91" s="8"/>
      <c r="BG91" s="8"/>
      <c r="BH91" s="8"/>
      <c r="BI91" s="8"/>
      <c r="BJ91" s="8"/>
      <c r="BK91" s="59"/>
      <c r="BL91" s="59"/>
      <c r="BM91" s="59"/>
      <c r="BN91" s="164">
        <v>0.01</v>
      </c>
      <c r="BO91" s="165">
        <f t="shared" si="184"/>
        <v>3783.3333333333335</v>
      </c>
      <c r="BP91" s="165">
        <f t="shared" ref="BP91:BQ91" si="256">BO91</f>
        <v>3783.3333333333335</v>
      </c>
      <c r="BQ91" s="165">
        <f t="shared" si="256"/>
        <v>3783.3333333333335</v>
      </c>
      <c r="BR91" s="59"/>
      <c r="BS91" s="59"/>
      <c r="BT91" s="59"/>
      <c r="BU91" s="59"/>
      <c r="BV91" s="59" t="str">
        <f t="shared" si="223"/>
        <v>ND</v>
      </c>
      <c r="BW91" s="59" t="str">
        <f t="shared" si="224"/>
        <v>ND</v>
      </c>
      <c r="BX91" s="59" t="str">
        <f t="shared" si="225"/>
        <v>ND</v>
      </c>
      <c r="BY91" s="59" t="str">
        <f t="shared" si="226"/>
        <v>ND</v>
      </c>
      <c r="BZ91" s="59" t="str">
        <f t="shared" si="164"/>
        <v>NA</v>
      </c>
      <c r="CA91" s="59" t="str">
        <f t="shared" si="165"/>
        <v/>
      </c>
      <c r="CB91" s="59" t="str">
        <f t="shared" si="166"/>
        <v>NA</v>
      </c>
      <c r="CC91" s="59" t="str">
        <f t="shared" si="167"/>
        <v/>
      </c>
      <c r="CD91" s="59" t="str">
        <f t="shared" si="168"/>
        <v>NA</v>
      </c>
      <c r="CE91" s="59" t="str">
        <f t="shared" si="169"/>
        <v/>
      </c>
      <c r="CF91" s="59" t="str">
        <f t="shared" si="170"/>
        <v>NA</v>
      </c>
      <c r="CG91" s="59" t="str">
        <f t="shared" ca="1" si="171"/>
        <v>NA</v>
      </c>
      <c r="CH91" s="59" t="str">
        <f t="shared" ca="1" si="172"/>
        <v>NA</v>
      </c>
      <c r="CI91" s="59" t="str">
        <f t="shared" ca="1" si="173"/>
        <v>DE 16 A 20 DIAS</v>
      </c>
      <c r="CJ91" s="59" t="str">
        <f t="shared" ca="1" si="174"/>
        <v>DE 16 A 20 DIAS</v>
      </c>
      <c r="CK91" s="59" t="str">
        <f t="shared" ca="1" si="175"/>
        <v>DE 16 A 20 DIAS</v>
      </c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>
        <f t="shared" si="186"/>
        <v>0</v>
      </c>
      <c r="DH91" s="8">
        <f t="shared" si="187"/>
        <v>0</v>
      </c>
      <c r="DI91" s="8">
        <f t="shared" si="188"/>
        <v>0</v>
      </c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59" t="str">
        <f t="shared" si="189"/>
        <v>NA</v>
      </c>
      <c r="DU91" s="59" t="str">
        <f t="shared" si="190"/>
        <v>NA</v>
      </c>
      <c r="DV91" s="59" t="str">
        <f t="shared" si="191"/>
        <v>NA</v>
      </c>
      <c r="DW91" s="59" t="str">
        <f t="shared" si="192"/>
        <v>NA</v>
      </c>
      <c r="DX91" s="59" t="str">
        <f t="shared" si="193"/>
        <v>NA</v>
      </c>
      <c r="DY91" s="59" t="str">
        <f t="shared" si="194"/>
        <v>NA</v>
      </c>
      <c r="DZ91" s="59" t="str">
        <f t="shared" si="195"/>
        <v>NA</v>
      </c>
      <c r="EA91" s="59" t="str">
        <f t="shared" si="196"/>
        <v>NA</v>
      </c>
      <c r="EB91" s="59" t="str">
        <f t="shared" si="197"/>
        <v>NA</v>
      </c>
      <c r="EC91" s="59" t="str">
        <f t="shared" si="198"/>
        <v>NA</v>
      </c>
      <c r="ED91" s="59" t="str">
        <f t="shared" si="199"/>
        <v/>
      </c>
      <c r="EE91" s="59" t="str">
        <f t="shared" si="200"/>
        <v/>
      </c>
      <c r="EF91" s="59" t="str">
        <f t="shared" si="201"/>
        <v/>
      </c>
      <c r="EG91" s="59" t="str">
        <f t="shared" si="202"/>
        <v/>
      </c>
      <c r="EH91" s="59" t="str">
        <f t="shared" si="203"/>
        <v/>
      </c>
      <c r="EI91" s="59" t="str">
        <f t="shared" si="204"/>
        <v/>
      </c>
      <c r="EJ91" s="59" t="str">
        <f t="shared" si="205"/>
        <v/>
      </c>
      <c r="EK91" s="59" t="str">
        <f t="shared" si="206"/>
        <v/>
      </c>
      <c r="EL91" s="59" t="str">
        <f t="shared" si="207"/>
        <v/>
      </c>
      <c r="EM91" s="59" t="str">
        <f t="shared" si="208"/>
        <v/>
      </c>
      <c r="EN91" s="59" t="str">
        <f t="shared" si="209"/>
        <v/>
      </c>
      <c r="EO91" s="59" t="str">
        <f t="shared" si="210"/>
        <v/>
      </c>
      <c r="EP91" s="59" t="str">
        <f t="shared" si="211"/>
        <v/>
      </c>
      <c r="EQ91" s="59" t="str">
        <f t="shared" si="212"/>
        <v/>
      </c>
      <c r="ER91" s="59" t="str">
        <f t="shared" si="213"/>
        <v/>
      </c>
      <c r="ES91" s="59" t="str">
        <f t="shared" si="214"/>
        <v/>
      </c>
      <c r="ET91" s="59" t="str">
        <f t="shared" si="215"/>
        <v/>
      </c>
      <c r="EU91" s="59" t="str">
        <f t="shared" si="216"/>
        <v/>
      </c>
      <c r="EV91" s="59" t="str">
        <f t="shared" si="217"/>
        <v/>
      </c>
      <c r="EW91" s="59" t="str">
        <f t="shared" si="218"/>
        <v/>
      </c>
      <c r="EX91" s="56">
        <f t="shared" si="176"/>
        <v>1135000</v>
      </c>
    </row>
    <row r="92" spans="1:154" x14ac:dyDescent="0.25">
      <c r="A92" s="2">
        <f t="shared" si="219"/>
        <v>91</v>
      </c>
      <c r="B92" s="2" t="s">
        <v>6</v>
      </c>
      <c r="C92" s="2" t="str">
        <f t="shared" si="177"/>
        <v>020620</v>
      </c>
      <c r="D92" s="2">
        <v>2</v>
      </c>
      <c r="E92" s="2">
        <v>6</v>
      </c>
      <c r="F92" s="2">
        <v>20</v>
      </c>
      <c r="G92" s="11" t="s">
        <v>14</v>
      </c>
      <c r="H92" s="4"/>
      <c r="I92" s="42" t="s">
        <v>58</v>
      </c>
      <c r="J92" s="15">
        <v>80</v>
      </c>
      <c r="K92" s="156"/>
      <c r="L92" s="6" t="s">
        <v>306</v>
      </c>
      <c r="M92" s="23" t="s">
        <v>177</v>
      </c>
      <c r="N92" s="7">
        <f t="shared" si="220"/>
        <v>1126000</v>
      </c>
      <c r="O92" s="8">
        <v>130</v>
      </c>
      <c r="P92" s="25">
        <v>41197</v>
      </c>
      <c r="Q92" s="8" t="str">
        <f t="shared" si="178"/>
        <v>2DA-OCT</v>
      </c>
      <c r="R92" s="26">
        <v>0.1</v>
      </c>
      <c r="S92" s="41" t="s">
        <v>34</v>
      </c>
      <c r="T92" s="8" t="s">
        <v>353</v>
      </c>
      <c r="U92" s="8"/>
      <c r="V92" s="7">
        <v>563000</v>
      </c>
      <c r="W92" s="7">
        <f>+V92*0.98</f>
        <v>551740</v>
      </c>
      <c r="X92" s="7">
        <f t="shared" si="179"/>
        <v>11260</v>
      </c>
      <c r="Y92" s="7">
        <v>0</v>
      </c>
      <c r="Z92" s="7">
        <f t="shared" si="180"/>
        <v>551740</v>
      </c>
      <c r="AA92" s="148" t="str">
        <f t="shared" si="181"/>
        <v>99%</v>
      </c>
      <c r="AB92" s="148">
        <f t="shared" si="182"/>
        <v>1.0000000000000009E-2</v>
      </c>
      <c r="AC92" s="25">
        <f ca="1">TODAY()-25</f>
        <v>41097</v>
      </c>
      <c r="AD92" s="25">
        <f t="shared" ref="AD92:AE92" ca="1" si="257">TODAY()-25</f>
        <v>41097</v>
      </c>
      <c r="AE92" s="25">
        <f t="shared" ca="1" si="257"/>
        <v>41097</v>
      </c>
      <c r="AF92" s="8"/>
      <c r="AG92" s="59" t="str">
        <f t="shared" ca="1" si="183"/>
        <v>NA</v>
      </c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59" t="str">
        <f t="shared" si="228"/>
        <v>NA</v>
      </c>
      <c r="AS92" s="59" t="str">
        <f t="shared" si="229"/>
        <v/>
      </c>
      <c r="AT92" s="59"/>
      <c r="AU92" s="59" t="str">
        <f t="shared" si="162"/>
        <v>ND</v>
      </c>
      <c r="AV92" s="66"/>
      <c r="AW92" s="66"/>
      <c r="AX92" s="66"/>
      <c r="AY92" s="66"/>
      <c r="AZ92" s="8"/>
      <c r="BA92" s="8" t="s">
        <v>37</v>
      </c>
      <c r="BB92" s="8"/>
      <c r="BC92" s="8"/>
      <c r="BD92" s="8"/>
      <c r="BE92" s="8"/>
      <c r="BF92" s="8"/>
      <c r="BG92" s="8"/>
      <c r="BH92" s="8"/>
      <c r="BI92" s="8"/>
      <c r="BJ92" s="8"/>
      <c r="BK92" s="59"/>
      <c r="BL92" s="59"/>
      <c r="BM92" s="59"/>
      <c r="BN92" s="164">
        <v>0.01</v>
      </c>
      <c r="BO92" s="165">
        <f t="shared" si="184"/>
        <v>3753.3333333333335</v>
      </c>
      <c r="BP92" s="165">
        <f t="shared" ref="BP92:BQ92" si="258">BO92</f>
        <v>3753.3333333333335</v>
      </c>
      <c r="BQ92" s="165">
        <f t="shared" si="258"/>
        <v>3753.3333333333335</v>
      </c>
      <c r="BR92" s="59"/>
      <c r="BS92" s="59"/>
      <c r="BT92" s="59"/>
      <c r="BU92" s="59"/>
      <c r="BV92" s="59" t="str">
        <f t="shared" si="223"/>
        <v>ND</v>
      </c>
      <c r="BW92" s="59" t="str">
        <f t="shared" si="224"/>
        <v>ND</v>
      </c>
      <c r="BX92" s="59" t="str">
        <f t="shared" si="225"/>
        <v>ND</v>
      </c>
      <c r="BY92" s="59" t="str">
        <f t="shared" si="226"/>
        <v>ND</v>
      </c>
      <c r="BZ92" s="59" t="str">
        <f t="shared" si="164"/>
        <v>NA</v>
      </c>
      <c r="CA92" s="59" t="str">
        <f t="shared" si="165"/>
        <v/>
      </c>
      <c r="CB92" s="59" t="str">
        <f t="shared" si="166"/>
        <v>NA</v>
      </c>
      <c r="CC92" s="59" t="str">
        <f t="shared" si="167"/>
        <v/>
      </c>
      <c r="CD92" s="59" t="str">
        <f t="shared" si="168"/>
        <v>NA</v>
      </c>
      <c r="CE92" s="59" t="str">
        <f t="shared" si="169"/>
        <v/>
      </c>
      <c r="CF92" s="59" t="str">
        <f t="shared" si="170"/>
        <v>NA</v>
      </c>
      <c r="CG92" s="59" t="str">
        <f t="shared" ca="1" si="171"/>
        <v>NA</v>
      </c>
      <c r="CH92" s="59" t="str">
        <f t="shared" ca="1" si="172"/>
        <v>NA</v>
      </c>
      <c r="CI92" s="59" t="str">
        <f t="shared" ca="1" si="173"/>
        <v>DE 21 A 25 DIAS</v>
      </c>
      <c r="CJ92" s="59" t="str">
        <f t="shared" ca="1" si="174"/>
        <v>DE 21 A 25 DIAS</v>
      </c>
      <c r="CK92" s="59" t="str">
        <f t="shared" ca="1" si="175"/>
        <v>DE 21 A 25 DIAS</v>
      </c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>
        <f t="shared" si="186"/>
        <v>0</v>
      </c>
      <c r="DH92" s="8">
        <f t="shared" si="187"/>
        <v>0</v>
      </c>
      <c r="DI92" s="8">
        <f t="shared" si="188"/>
        <v>0</v>
      </c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59" t="str">
        <f t="shared" si="189"/>
        <v>NA</v>
      </c>
      <c r="DU92" s="59" t="str">
        <f t="shared" si="190"/>
        <v>NA</v>
      </c>
      <c r="DV92" s="59" t="str">
        <f t="shared" si="191"/>
        <v>NA</v>
      </c>
      <c r="DW92" s="59" t="str">
        <f t="shared" si="192"/>
        <v>NA</v>
      </c>
      <c r="DX92" s="59" t="str">
        <f t="shared" si="193"/>
        <v>NA</v>
      </c>
      <c r="DY92" s="59" t="str">
        <f t="shared" si="194"/>
        <v>NA</v>
      </c>
      <c r="DZ92" s="59" t="str">
        <f t="shared" si="195"/>
        <v>NA</v>
      </c>
      <c r="EA92" s="59" t="str">
        <f t="shared" si="196"/>
        <v>NA</v>
      </c>
      <c r="EB92" s="59" t="str">
        <f t="shared" si="197"/>
        <v>NA</v>
      </c>
      <c r="EC92" s="59" t="str">
        <f t="shared" si="198"/>
        <v>NA</v>
      </c>
      <c r="ED92" s="59" t="str">
        <f t="shared" si="199"/>
        <v/>
      </c>
      <c r="EE92" s="59" t="str">
        <f t="shared" si="200"/>
        <v/>
      </c>
      <c r="EF92" s="59" t="str">
        <f t="shared" si="201"/>
        <v/>
      </c>
      <c r="EG92" s="59" t="str">
        <f t="shared" si="202"/>
        <v/>
      </c>
      <c r="EH92" s="59" t="str">
        <f t="shared" si="203"/>
        <v/>
      </c>
      <c r="EI92" s="59" t="str">
        <f t="shared" si="204"/>
        <v/>
      </c>
      <c r="EJ92" s="59" t="str">
        <f t="shared" si="205"/>
        <v/>
      </c>
      <c r="EK92" s="59" t="str">
        <f t="shared" si="206"/>
        <v/>
      </c>
      <c r="EL92" s="59" t="str">
        <f t="shared" si="207"/>
        <v/>
      </c>
      <c r="EM92" s="59" t="str">
        <f t="shared" si="208"/>
        <v/>
      </c>
      <c r="EN92" s="59" t="str">
        <f t="shared" si="209"/>
        <v/>
      </c>
      <c r="EO92" s="59" t="str">
        <f t="shared" si="210"/>
        <v/>
      </c>
      <c r="EP92" s="59" t="str">
        <f t="shared" si="211"/>
        <v/>
      </c>
      <c r="EQ92" s="59" t="str">
        <f t="shared" si="212"/>
        <v/>
      </c>
      <c r="ER92" s="59" t="str">
        <f t="shared" si="213"/>
        <v/>
      </c>
      <c r="ES92" s="59" t="str">
        <f t="shared" si="214"/>
        <v/>
      </c>
      <c r="ET92" s="59" t="str">
        <f t="shared" si="215"/>
        <v/>
      </c>
      <c r="EU92" s="59" t="str">
        <f t="shared" si="216"/>
        <v/>
      </c>
      <c r="EV92" s="59" t="str">
        <f t="shared" si="217"/>
        <v/>
      </c>
      <c r="EW92" s="59" t="str">
        <f t="shared" si="218"/>
        <v/>
      </c>
      <c r="EX92" s="56">
        <f t="shared" si="176"/>
        <v>1126000</v>
      </c>
    </row>
    <row r="93" spans="1:154" x14ac:dyDescent="0.25">
      <c r="A93" s="2">
        <f t="shared" si="219"/>
        <v>92</v>
      </c>
      <c r="B93" s="2" t="s">
        <v>6</v>
      </c>
      <c r="C93" s="2" t="str">
        <f t="shared" si="177"/>
        <v>020621</v>
      </c>
      <c r="D93" s="2">
        <v>2</v>
      </c>
      <c r="E93" s="2">
        <v>6</v>
      </c>
      <c r="F93" s="2">
        <v>21</v>
      </c>
      <c r="G93" s="11" t="s">
        <v>14</v>
      </c>
      <c r="H93" s="4"/>
      <c r="I93" s="42" t="s">
        <v>58</v>
      </c>
      <c r="J93" s="15">
        <v>80</v>
      </c>
      <c r="K93" s="156"/>
      <c r="L93" s="6" t="s">
        <v>306</v>
      </c>
      <c r="M93" s="23" t="s">
        <v>177</v>
      </c>
      <c r="N93" s="7">
        <f t="shared" si="220"/>
        <v>1126000</v>
      </c>
      <c r="O93" s="8">
        <v>131</v>
      </c>
      <c r="P93" s="25">
        <v>41197</v>
      </c>
      <c r="Q93" s="8" t="str">
        <f t="shared" si="178"/>
        <v>2DA-OCT</v>
      </c>
      <c r="R93" s="26">
        <v>0.1</v>
      </c>
      <c r="S93" s="41" t="s">
        <v>34</v>
      </c>
      <c r="T93" s="8" t="s">
        <v>353</v>
      </c>
      <c r="U93" s="8"/>
      <c r="V93" s="7">
        <v>563000</v>
      </c>
      <c r="W93" s="7">
        <f t="shared" ref="W93:W105" si="259">+V93*0.98</f>
        <v>551740</v>
      </c>
      <c r="X93" s="7">
        <f t="shared" si="179"/>
        <v>11260</v>
      </c>
      <c r="Y93" s="7">
        <v>0</v>
      </c>
      <c r="Z93" s="7">
        <f t="shared" si="180"/>
        <v>551740</v>
      </c>
      <c r="AA93" s="148" t="str">
        <f t="shared" si="181"/>
        <v>99%</v>
      </c>
      <c r="AB93" s="148">
        <f t="shared" si="182"/>
        <v>1.0000000000000009E-2</v>
      </c>
      <c r="AC93" s="25">
        <f ca="1">TODAY()-29</f>
        <v>41093</v>
      </c>
      <c r="AD93" s="25">
        <f t="shared" ref="AD93:AE93" ca="1" si="260">TODAY()-29</f>
        <v>41093</v>
      </c>
      <c r="AE93" s="25">
        <f t="shared" ca="1" si="260"/>
        <v>41093</v>
      </c>
      <c r="AF93" s="8"/>
      <c r="AG93" s="59" t="str">
        <f t="shared" ca="1" si="183"/>
        <v>NA</v>
      </c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59" t="str">
        <f t="shared" si="228"/>
        <v>NA</v>
      </c>
      <c r="AS93" s="59" t="str">
        <f t="shared" si="229"/>
        <v/>
      </c>
      <c r="AT93" s="59"/>
      <c r="AU93" s="59" t="str">
        <f t="shared" si="162"/>
        <v>ND</v>
      </c>
      <c r="AV93" s="66"/>
      <c r="AW93" s="66"/>
      <c r="AX93" s="66"/>
      <c r="AY93" s="66"/>
      <c r="AZ93" s="8"/>
      <c r="BA93" s="8" t="s">
        <v>37</v>
      </c>
      <c r="BB93" s="8"/>
      <c r="BC93" s="8"/>
      <c r="BD93" s="8"/>
      <c r="BE93" s="8"/>
      <c r="BF93" s="8"/>
      <c r="BG93" s="8"/>
      <c r="BH93" s="8"/>
      <c r="BI93" s="8"/>
      <c r="BJ93" s="8"/>
      <c r="BK93" s="59"/>
      <c r="BL93" s="59"/>
      <c r="BM93" s="59"/>
      <c r="BN93" s="164">
        <v>0.01</v>
      </c>
      <c r="BO93" s="165">
        <f t="shared" si="184"/>
        <v>3753.3333333333335</v>
      </c>
      <c r="BP93" s="165">
        <f t="shared" ref="BP93:BQ93" si="261">BO93</f>
        <v>3753.3333333333335</v>
      </c>
      <c r="BQ93" s="165">
        <f t="shared" si="261"/>
        <v>3753.3333333333335</v>
      </c>
      <c r="BR93" s="59"/>
      <c r="BS93" s="59"/>
      <c r="BT93" s="59"/>
      <c r="BU93" s="59"/>
      <c r="BV93" s="59" t="str">
        <f t="shared" si="223"/>
        <v>ND</v>
      </c>
      <c r="BW93" s="59" t="str">
        <f t="shared" si="224"/>
        <v>ND</v>
      </c>
      <c r="BX93" s="59" t="str">
        <f t="shared" si="225"/>
        <v>ND</v>
      </c>
      <c r="BY93" s="59" t="str">
        <f t="shared" si="226"/>
        <v>ND</v>
      </c>
      <c r="BZ93" s="59" t="str">
        <f t="shared" si="164"/>
        <v>NA</v>
      </c>
      <c r="CA93" s="59" t="str">
        <f t="shared" si="165"/>
        <v/>
      </c>
      <c r="CB93" s="59" t="str">
        <f t="shared" si="166"/>
        <v>NA</v>
      </c>
      <c r="CC93" s="59" t="str">
        <f t="shared" si="167"/>
        <v/>
      </c>
      <c r="CD93" s="59" t="str">
        <f t="shared" si="168"/>
        <v>NA</v>
      </c>
      <c r="CE93" s="59" t="str">
        <f t="shared" si="169"/>
        <v/>
      </c>
      <c r="CF93" s="59" t="str">
        <f t="shared" si="170"/>
        <v>NA</v>
      </c>
      <c r="CG93" s="59" t="str">
        <f t="shared" ca="1" si="171"/>
        <v>NA</v>
      </c>
      <c r="CH93" s="59" t="str">
        <f t="shared" ca="1" si="172"/>
        <v>NA</v>
      </c>
      <c r="CI93" s="59" t="str">
        <f t="shared" ca="1" si="173"/>
        <v>DE 26 A 29 DIAS</v>
      </c>
      <c r="CJ93" s="59" t="str">
        <f t="shared" ca="1" si="174"/>
        <v>DE 26 A 29 DIAS</v>
      </c>
      <c r="CK93" s="59" t="str">
        <f t="shared" ca="1" si="175"/>
        <v>DE 26 A 29 DIAS</v>
      </c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>
        <f t="shared" si="186"/>
        <v>0</v>
      </c>
      <c r="DH93" s="8">
        <f t="shared" si="187"/>
        <v>0</v>
      </c>
      <c r="DI93" s="8">
        <f t="shared" si="188"/>
        <v>0</v>
      </c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59" t="str">
        <f t="shared" si="189"/>
        <v>NA</v>
      </c>
      <c r="DU93" s="59" t="str">
        <f t="shared" si="190"/>
        <v>NA</v>
      </c>
      <c r="DV93" s="59" t="str">
        <f t="shared" si="191"/>
        <v>NA</v>
      </c>
      <c r="DW93" s="59" t="str">
        <f t="shared" si="192"/>
        <v>NA</v>
      </c>
      <c r="DX93" s="59" t="str">
        <f t="shared" si="193"/>
        <v>NA</v>
      </c>
      <c r="DY93" s="59" t="str">
        <f t="shared" si="194"/>
        <v>NA</v>
      </c>
      <c r="DZ93" s="59" t="str">
        <f t="shared" si="195"/>
        <v>NA</v>
      </c>
      <c r="EA93" s="59" t="str">
        <f t="shared" si="196"/>
        <v>NA</v>
      </c>
      <c r="EB93" s="59" t="str">
        <f t="shared" si="197"/>
        <v>NA</v>
      </c>
      <c r="EC93" s="59" t="str">
        <f t="shared" si="198"/>
        <v>NA</v>
      </c>
      <c r="ED93" s="59" t="str">
        <f t="shared" si="199"/>
        <v/>
      </c>
      <c r="EE93" s="59" t="str">
        <f t="shared" si="200"/>
        <v/>
      </c>
      <c r="EF93" s="59" t="str">
        <f t="shared" si="201"/>
        <v/>
      </c>
      <c r="EG93" s="59" t="str">
        <f t="shared" si="202"/>
        <v/>
      </c>
      <c r="EH93" s="59" t="str">
        <f t="shared" si="203"/>
        <v/>
      </c>
      <c r="EI93" s="59" t="str">
        <f t="shared" si="204"/>
        <v/>
      </c>
      <c r="EJ93" s="59" t="str">
        <f t="shared" si="205"/>
        <v/>
      </c>
      <c r="EK93" s="59" t="str">
        <f t="shared" si="206"/>
        <v/>
      </c>
      <c r="EL93" s="59" t="str">
        <f t="shared" si="207"/>
        <v/>
      </c>
      <c r="EM93" s="59" t="str">
        <f t="shared" si="208"/>
        <v/>
      </c>
      <c r="EN93" s="59" t="str">
        <f t="shared" si="209"/>
        <v/>
      </c>
      <c r="EO93" s="59" t="str">
        <f t="shared" si="210"/>
        <v/>
      </c>
      <c r="EP93" s="59" t="str">
        <f t="shared" si="211"/>
        <v/>
      </c>
      <c r="EQ93" s="59" t="str">
        <f t="shared" si="212"/>
        <v/>
      </c>
      <c r="ER93" s="59" t="str">
        <f t="shared" si="213"/>
        <v/>
      </c>
      <c r="ES93" s="59" t="str">
        <f t="shared" si="214"/>
        <v/>
      </c>
      <c r="ET93" s="59" t="str">
        <f t="shared" si="215"/>
        <v/>
      </c>
      <c r="EU93" s="59" t="str">
        <f t="shared" si="216"/>
        <v/>
      </c>
      <c r="EV93" s="59" t="str">
        <f t="shared" si="217"/>
        <v/>
      </c>
      <c r="EW93" s="59" t="str">
        <f t="shared" si="218"/>
        <v/>
      </c>
      <c r="EX93" s="56">
        <f t="shared" si="176"/>
        <v>1126000</v>
      </c>
    </row>
    <row r="94" spans="1:154" x14ac:dyDescent="0.25">
      <c r="A94" s="2">
        <f t="shared" si="219"/>
        <v>93</v>
      </c>
      <c r="B94" s="2" t="s">
        <v>6</v>
      </c>
      <c r="C94" s="2" t="str">
        <f t="shared" si="177"/>
        <v>020622</v>
      </c>
      <c r="D94" s="2">
        <v>2</v>
      </c>
      <c r="E94" s="2">
        <v>6</v>
      </c>
      <c r="F94" s="2">
        <v>22</v>
      </c>
      <c r="G94" s="11" t="s">
        <v>14</v>
      </c>
      <c r="H94" s="4"/>
      <c r="I94" s="42" t="s">
        <v>58</v>
      </c>
      <c r="J94" s="9">
        <v>82.236000000000004</v>
      </c>
      <c r="K94" s="9"/>
      <c r="L94" s="10" t="s">
        <v>8</v>
      </c>
      <c r="M94" s="23" t="s">
        <v>177</v>
      </c>
      <c r="N94" s="7">
        <f t="shared" si="220"/>
        <v>1143496.8</v>
      </c>
      <c r="O94" s="8">
        <v>132</v>
      </c>
      <c r="P94" s="25">
        <v>41197</v>
      </c>
      <c r="Q94" s="8" t="str">
        <f t="shared" si="178"/>
        <v>2DA-OCT</v>
      </c>
      <c r="R94" s="26">
        <v>0.1</v>
      </c>
      <c r="S94" s="41" t="s">
        <v>34</v>
      </c>
      <c r="T94" s="8" t="s">
        <v>353</v>
      </c>
      <c r="U94" s="8"/>
      <c r="V94" s="7">
        <v>571748.4</v>
      </c>
      <c r="W94" s="7">
        <f t="shared" si="259"/>
        <v>560313.43200000003</v>
      </c>
      <c r="X94" s="7">
        <f t="shared" si="179"/>
        <v>11434.967999999993</v>
      </c>
      <c r="Y94" s="7">
        <v>0</v>
      </c>
      <c r="Z94" s="7">
        <f t="shared" si="180"/>
        <v>560313.43200000003</v>
      </c>
      <c r="AA94" s="148" t="str">
        <f t="shared" si="181"/>
        <v>99%</v>
      </c>
      <c r="AB94" s="148">
        <f t="shared" si="182"/>
        <v>1.0000000000000009E-2</v>
      </c>
      <c r="AC94" s="25">
        <f ca="1">TODAY()-30</f>
        <v>41092</v>
      </c>
      <c r="AD94" s="25">
        <f t="shared" ref="AD94:AE94" ca="1" si="262">TODAY()-30</f>
        <v>41092</v>
      </c>
      <c r="AE94" s="25">
        <f t="shared" ca="1" si="262"/>
        <v>41092</v>
      </c>
      <c r="AF94" s="8"/>
      <c r="AG94" s="59" t="str">
        <f t="shared" ca="1" si="183"/>
        <v>NA</v>
      </c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59" t="str">
        <f t="shared" si="228"/>
        <v>NA</v>
      </c>
      <c r="AS94" s="59" t="str">
        <f t="shared" si="229"/>
        <v/>
      </c>
      <c r="AT94" s="59"/>
      <c r="AU94" s="59" t="str">
        <f t="shared" si="162"/>
        <v>ND</v>
      </c>
      <c r="AV94" s="66"/>
      <c r="AW94" s="66"/>
      <c r="AX94" s="66"/>
      <c r="AY94" s="66"/>
      <c r="AZ94" s="8"/>
      <c r="BA94" s="8" t="s">
        <v>37</v>
      </c>
      <c r="BB94" s="8"/>
      <c r="BC94" s="8"/>
      <c r="BD94" s="8"/>
      <c r="BE94" s="8"/>
      <c r="BF94" s="8"/>
      <c r="BG94" s="8"/>
      <c r="BH94" s="8"/>
      <c r="BI94" s="8"/>
      <c r="BJ94" s="8"/>
      <c r="BK94" s="59"/>
      <c r="BL94" s="59"/>
      <c r="BM94" s="59"/>
      <c r="BN94" s="164">
        <v>0.01</v>
      </c>
      <c r="BO94" s="165">
        <f t="shared" si="184"/>
        <v>3811.6560000000004</v>
      </c>
      <c r="BP94" s="165">
        <f t="shared" ref="BP94:BQ94" si="263">BO94</f>
        <v>3811.6560000000004</v>
      </c>
      <c r="BQ94" s="165">
        <f t="shared" si="263"/>
        <v>3811.6560000000004</v>
      </c>
      <c r="BR94" s="59"/>
      <c r="BS94" s="59"/>
      <c r="BT94" s="59"/>
      <c r="BU94" s="59"/>
      <c r="BV94" s="59" t="str">
        <f t="shared" si="223"/>
        <v>ND</v>
      </c>
      <c r="BW94" s="59" t="str">
        <f t="shared" si="224"/>
        <v>ND</v>
      </c>
      <c r="BX94" s="59" t="str">
        <f t="shared" si="225"/>
        <v>ND</v>
      </c>
      <c r="BY94" s="59" t="str">
        <f t="shared" si="226"/>
        <v>ND</v>
      </c>
      <c r="BZ94" s="59" t="str">
        <f t="shared" si="164"/>
        <v>NA</v>
      </c>
      <c r="CA94" s="59" t="str">
        <f t="shared" si="165"/>
        <v/>
      </c>
      <c r="CB94" s="59" t="str">
        <f t="shared" si="166"/>
        <v>NA</v>
      </c>
      <c r="CC94" s="59" t="str">
        <f t="shared" si="167"/>
        <v/>
      </c>
      <c r="CD94" s="59" t="str">
        <f t="shared" si="168"/>
        <v>NA</v>
      </c>
      <c r="CE94" s="59" t="str">
        <f t="shared" si="169"/>
        <v/>
      </c>
      <c r="CF94" s="59" t="str">
        <f t="shared" si="170"/>
        <v>NA</v>
      </c>
      <c r="CG94" s="59" t="str">
        <f t="shared" ca="1" si="171"/>
        <v>NA</v>
      </c>
      <c r="CH94" s="59" t="str">
        <f t="shared" ca="1" si="172"/>
        <v>NA</v>
      </c>
      <c r="CI94" s="59" t="str">
        <f t="shared" ca="1" si="173"/>
        <v>30 DIAS</v>
      </c>
      <c r="CJ94" s="59" t="str">
        <f t="shared" ca="1" si="174"/>
        <v>30 DIAS</v>
      </c>
      <c r="CK94" s="59" t="str">
        <f t="shared" ca="1" si="175"/>
        <v>30 DIAS</v>
      </c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>
        <f t="shared" si="186"/>
        <v>0</v>
      </c>
      <c r="DH94" s="8">
        <f t="shared" si="187"/>
        <v>0</v>
      </c>
      <c r="DI94" s="8">
        <f t="shared" si="188"/>
        <v>0</v>
      </c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59" t="str">
        <f t="shared" si="189"/>
        <v>NA</v>
      </c>
      <c r="DU94" s="59" t="str">
        <f t="shared" si="190"/>
        <v>NA</v>
      </c>
      <c r="DV94" s="59" t="str">
        <f t="shared" si="191"/>
        <v>NA</v>
      </c>
      <c r="DW94" s="59" t="str">
        <f t="shared" si="192"/>
        <v>NA</v>
      </c>
      <c r="DX94" s="59" t="str">
        <f t="shared" si="193"/>
        <v>NA</v>
      </c>
      <c r="DY94" s="59" t="str">
        <f t="shared" si="194"/>
        <v>NA</v>
      </c>
      <c r="DZ94" s="59" t="str">
        <f t="shared" si="195"/>
        <v>NA</v>
      </c>
      <c r="EA94" s="59" t="str">
        <f t="shared" si="196"/>
        <v>NA</v>
      </c>
      <c r="EB94" s="59" t="str">
        <f t="shared" si="197"/>
        <v>NA</v>
      </c>
      <c r="EC94" s="59" t="str">
        <f t="shared" si="198"/>
        <v>NA</v>
      </c>
      <c r="ED94" s="59" t="str">
        <f t="shared" si="199"/>
        <v/>
      </c>
      <c r="EE94" s="59" t="str">
        <f t="shared" si="200"/>
        <v/>
      </c>
      <c r="EF94" s="59" t="str">
        <f t="shared" si="201"/>
        <v/>
      </c>
      <c r="EG94" s="59" t="str">
        <f t="shared" si="202"/>
        <v/>
      </c>
      <c r="EH94" s="59" t="str">
        <f t="shared" si="203"/>
        <v/>
      </c>
      <c r="EI94" s="59" t="str">
        <f t="shared" si="204"/>
        <v/>
      </c>
      <c r="EJ94" s="59" t="str">
        <f t="shared" si="205"/>
        <v/>
      </c>
      <c r="EK94" s="59" t="str">
        <f t="shared" si="206"/>
        <v/>
      </c>
      <c r="EL94" s="59" t="str">
        <f t="shared" si="207"/>
        <v/>
      </c>
      <c r="EM94" s="59" t="str">
        <f t="shared" si="208"/>
        <v/>
      </c>
      <c r="EN94" s="59" t="str">
        <f t="shared" si="209"/>
        <v/>
      </c>
      <c r="EO94" s="59" t="str">
        <f t="shared" si="210"/>
        <v/>
      </c>
      <c r="EP94" s="59" t="str">
        <f t="shared" si="211"/>
        <v/>
      </c>
      <c r="EQ94" s="59" t="str">
        <f t="shared" si="212"/>
        <v/>
      </c>
      <c r="ER94" s="59" t="str">
        <f t="shared" si="213"/>
        <v/>
      </c>
      <c r="ES94" s="59" t="str">
        <f t="shared" si="214"/>
        <v/>
      </c>
      <c r="ET94" s="59" t="str">
        <f t="shared" si="215"/>
        <v/>
      </c>
      <c r="EU94" s="59" t="str">
        <f t="shared" si="216"/>
        <v/>
      </c>
      <c r="EV94" s="59" t="str">
        <f t="shared" si="217"/>
        <v/>
      </c>
      <c r="EW94" s="59" t="str">
        <f t="shared" si="218"/>
        <v/>
      </c>
      <c r="EX94" s="56">
        <f t="shared" si="176"/>
        <v>1143496.8</v>
      </c>
    </row>
    <row r="95" spans="1:154" x14ac:dyDescent="0.25">
      <c r="A95" s="2">
        <f t="shared" si="219"/>
        <v>94</v>
      </c>
      <c r="B95" s="2" t="s">
        <v>6</v>
      </c>
      <c r="C95" s="2" t="str">
        <f t="shared" si="177"/>
        <v>020701</v>
      </c>
      <c r="D95" s="13">
        <v>2</v>
      </c>
      <c r="E95" s="13">
        <v>7</v>
      </c>
      <c r="F95" s="13">
        <v>1</v>
      </c>
      <c r="G95" s="14" t="s">
        <v>15</v>
      </c>
      <c r="H95" s="130"/>
      <c r="I95" s="42" t="s">
        <v>58</v>
      </c>
      <c r="J95" s="15">
        <v>82.113</v>
      </c>
      <c r="K95" s="156"/>
      <c r="L95" s="6" t="s">
        <v>306</v>
      </c>
      <c r="M95" s="23" t="s">
        <v>177</v>
      </c>
      <c r="N95" s="7">
        <f t="shared" si="220"/>
        <v>1134029.3999999999</v>
      </c>
      <c r="O95" s="8">
        <v>133</v>
      </c>
      <c r="P95" s="25">
        <v>41197</v>
      </c>
      <c r="Q95" s="8" t="str">
        <f t="shared" si="178"/>
        <v>2DA-OCT</v>
      </c>
      <c r="R95" s="26">
        <v>0.1</v>
      </c>
      <c r="S95" s="41" t="s">
        <v>34</v>
      </c>
      <c r="T95" s="8" t="s">
        <v>353</v>
      </c>
      <c r="U95" s="8"/>
      <c r="V95" s="7">
        <v>567014.69999999995</v>
      </c>
      <c r="W95" s="7">
        <f t="shared" si="259"/>
        <v>555674.40599999996</v>
      </c>
      <c r="X95" s="7">
        <f t="shared" si="179"/>
        <v>11340.293999999994</v>
      </c>
      <c r="Y95" s="7">
        <v>0</v>
      </c>
      <c r="Z95" s="7">
        <f t="shared" si="180"/>
        <v>555674.40599999996</v>
      </c>
      <c r="AA95" s="148" t="str">
        <f t="shared" si="181"/>
        <v>99%</v>
      </c>
      <c r="AB95" s="148">
        <f t="shared" si="182"/>
        <v>1.0000000000000009E-2</v>
      </c>
      <c r="AC95" s="25">
        <f ca="1">TODAY()-34</f>
        <v>41088</v>
      </c>
      <c r="AD95" s="25">
        <f t="shared" ref="AD95:AE95" ca="1" si="264">TODAY()-34</f>
        <v>41088</v>
      </c>
      <c r="AE95" s="25">
        <f t="shared" ca="1" si="264"/>
        <v>41088</v>
      </c>
      <c r="AF95" s="8"/>
      <c r="AG95" s="59" t="str">
        <f t="shared" ca="1" si="183"/>
        <v>NA</v>
      </c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59" t="str">
        <f t="shared" si="228"/>
        <v>NA</v>
      </c>
      <c r="AS95" s="59" t="str">
        <f t="shared" si="229"/>
        <v/>
      </c>
      <c r="AT95" s="59"/>
      <c r="AU95" s="59" t="str">
        <f t="shared" si="162"/>
        <v>ND</v>
      </c>
      <c r="AV95" s="66"/>
      <c r="AW95" s="66"/>
      <c r="AX95" s="66"/>
      <c r="AY95" s="66"/>
      <c r="AZ95" s="8"/>
      <c r="BA95" s="8" t="s">
        <v>37</v>
      </c>
      <c r="BB95" s="8"/>
      <c r="BC95" s="8"/>
      <c r="BD95" s="8"/>
      <c r="BE95" s="8"/>
      <c r="BF95" s="8"/>
      <c r="BG95" s="8"/>
      <c r="BH95" s="8"/>
      <c r="BI95" s="8"/>
      <c r="BJ95" s="8"/>
      <c r="BK95" s="59"/>
      <c r="BL95" s="59"/>
      <c r="BM95" s="59"/>
      <c r="BN95" s="164">
        <v>0.01</v>
      </c>
      <c r="BO95" s="165">
        <f t="shared" si="184"/>
        <v>3780.098</v>
      </c>
      <c r="BP95" s="165">
        <f t="shared" ref="BP95:BQ95" si="265">BO95</f>
        <v>3780.098</v>
      </c>
      <c r="BQ95" s="165">
        <f t="shared" si="265"/>
        <v>3780.098</v>
      </c>
      <c r="BR95" s="59"/>
      <c r="BS95" s="59"/>
      <c r="BT95" s="59"/>
      <c r="BU95" s="59"/>
      <c r="BV95" s="59" t="str">
        <f t="shared" si="223"/>
        <v>ND</v>
      </c>
      <c r="BW95" s="59" t="str">
        <f t="shared" si="224"/>
        <v>ND</v>
      </c>
      <c r="BX95" s="59" t="str">
        <f t="shared" si="225"/>
        <v>ND</v>
      </c>
      <c r="BY95" s="59" t="str">
        <f t="shared" si="226"/>
        <v>ND</v>
      </c>
      <c r="BZ95" s="59" t="str">
        <f t="shared" si="164"/>
        <v>NA</v>
      </c>
      <c r="CA95" s="59" t="str">
        <f t="shared" si="165"/>
        <v/>
      </c>
      <c r="CB95" s="59" t="str">
        <f t="shared" si="166"/>
        <v>NA</v>
      </c>
      <c r="CC95" s="59" t="str">
        <f t="shared" si="167"/>
        <v/>
      </c>
      <c r="CD95" s="59" t="str">
        <f t="shared" si="168"/>
        <v>NA</v>
      </c>
      <c r="CE95" s="59" t="str">
        <f t="shared" si="169"/>
        <v/>
      </c>
      <c r="CF95" s="59" t="str">
        <f t="shared" si="170"/>
        <v>NA</v>
      </c>
      <c r="CG95" s="59" t="str">
        <f t="shared" ca="1" si="171"/>
        <v>NA</v>
      </c>
      <c r="CH95" s="59" t="str">
        <f t="shared" ca="1" si="172"/>
        <v>NA</v>
      </c>
      <c r="CI95" s="59" t="str">
        <f t="shared" ca="1" si="173"/>
        <v>DE 31 A 35 DIAS</v>
      </c>
      <c r="CJ95" s="59" t="str">
        <f t="shared" ca="1" si="174"/>
        <v>DE 31 A 35 DIAS</v>
      </c>
      <c r="CK95" s="59" t="str">
        <f t="shared" ca="1" si="175"/>
        <v>DE 31 A 35 DIAS</v>
      </c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>
        <f t="shared" si="186"/>
        <v>0</v>
      </c>
      <c r="DH95" s="8">
        <f t="shared" si="187"/>
        <v>0</v>
      </c>
      <c r="DI95" s="8">
        <f t="shared" si="188"/>
        <v>0</v>
      </c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59" t="str">
        <f t="shared" si="189"/>
        <v>NA</v>
      </c>
      <c r="DU95" s="59" t="str">
        <f t="shared" si="190"/>
        <v>NA</v>
      </c>
      <c r="DV95" s="59" t="str">
        <f t="shared" si="191"/>
        <v>NA</v>
      </c>
      <c r="DW95" s="59" t="str">
        <f t="shared" si="192"/>
        <v>NA</v>
      </c>
      <c r="DX95" s="59" t="str">
        <f t="shared" si="193"/>
        <v>NA</v>
      </c>
      <c r="DY95" s="59" t="str">
        <f t="shared" si="194"/>
        <v>NA</v>
      </c>
      <c r="DZ95" s="59" t="str">
        <f t="shared" si="195"/>
        <v>NA</v>
      </c>
      <c r="EA95" s="59" t="str">
        <f t="shared" si="196"/>
        <v>NA</v>
      </c>
      <c r="EB95" s="59" t="str">
        <f t="shared" si="197"/>
        <v>NA</v>
      </c>
      <c r="EC95" s="59" t="str">
        <f t="shared" si="198"/>
        <v>NA</v>
      </c>
      <c r="ED95" s="59" t="str">
        <f t="shared" si="199"/>
        <v/>
      </c>
      <c r="EE95" s="59" t="str">
        <f t="shared" si="200"/>
        <v/>
      </c>
      <c r="EF95" s="59" t="str">
        <f t="shared" si="201"/>
        <v/>
      </c>
      <c r="EG95" s="59" t="str">
        <f t="shared" si="202"/>
        <v/>
      </c>
      <c r="EH95" s="59" t="str">
        <f t="shared" si="203"/>
        <v/>
      </c>
      <c r="EI95" s="59" t="str">
        <f t="shared" si="204"/>
        <v/>
      </c>
      <c r="EJ95" s="59" t="str">
        <f t="shared" si="205"/>
        <v/>
      </c>
      <c r="EK95" s="59" t="str">
        <f t="shared" si="206"/>
        <v/>
      </c>
      <c r="EL95" s="59" t="str">
        <f t="shared" si="207"/>
        <v/>
      </c>
      <c r="EM95" s="59" t="str">
        <f t="shared" si="208"/>
        <v/>
      </c>
      <c r="EN95" s="59" t="str">
        <f t="shared" si="209"/>
        <v/>
      </c>
      <c r="EO95" s="59" t="str">
        <f t="shared" si="210"/>
        <v/>
      </c>
      <c r="EP95" s="59" t="str">
        <f t="shared" si="211"/>
        <v/>
      </c>
      <c r="EQ95" s="59" t="str">
        <f t="shared" si="212"/>
        <v/>
      </c>
      <c r="ER95" s="59" t="str">
        <f t="shared" si="213"/>
        <v/>
      </c>
      <c r="ES95" s="59" t="str">
        <f t="shared" si="214"/>
        <v/>
      </c>
      <c r="ET95" s="59" t="str">
        <f t="shared" si="215"/>
        <v/>
      </c>
      <c r="EU95" s="59" t="str">
        <f t="shared" si="216"/>
        <v/>
      </c>
      <c r="EV95" s="59" t="str">
        <f t="shared" si="217"/>
        <v/>
      </c>
      <c r="EW95" s="59" t="str">
        <f t="shared" si="218"/>
        <v/>
      </c>
      <c r="EX95" s="56">
        <f t="shared" si="176"/>
        <v>1134029.3999999999</v>
      </c>
    </row>
    <row r="96" spans="1:154" x14ac:dyDescent="0.25">
      <c r="A96" s="2">
        <f t="shared" si="219"/>
        <v>95</v>
      </c>
      <c r="B96" s="2" t="s">
        <v>6</v>
      </c>
      <c r="C96" s="2" t="str">
        <f t="shared" si="177"/>
        <v>020702</v>
      </c>
      <c r="D96" s="2">
        <v>2</v>
      </c>
      <c r="E96" s="2">
        <v>7</v>
      </c>
      <c r="F96" s="2">
        <v>2</v>
      </c>
      <c r="G96" s="14" t="s">
        <v>15</v>
      </c>
      <c r="H96" s="130"/>
      <c r="I96" s="42" t="s">
        <v>58</v>
      </c>
      <c r="J96" s="9">
        <v>80</v>
      </c>
      <c r="K96" s="5"/>
      <c r="L96" s="6" t="s">
        <v>306</v>
      </c>
      <c r="M96" s="23" t="s">
        <v>177</v>
      </c>
      <c r="N96" s="7">
        <f t="shared" si="220"/>
        <v>1126000</v>
      </c>
      <c r="O96" s="8">
        <v>134</v>
      </c>
      <c r="P96" s="25">
        <v>41197</v>
      </c>
      <c r="Q96" s="8" t="str">
        <f t="shared" si="178"/>
        <v>2DA-OCT</v>
      </c>
      <c r="R96" s="26">
        <v>0.1</v>
      </c>
      <c r="S96" s="41" t="s">
        <v>34</v>
      </c>
      <c r="T96" s="8" t="s">
        <v>353</v>
      </c>
      <c r="U96" s="8"/>
      <c r="V96" s="7">
        <v>563000</v>
      </c>
      <c r="W96" s="7">
        <f t="shared" si="259"/>
        <v>551740</v>
      </c>
      <c r="X96" s="7">
        <f t="shared" si="179"/>
        <v>11260</v>
      </c>
      <c r="Y96" s="7">
        <v>0</v>
      </c>
      <c r="Z96" s="7">
        <f t="shared" si="180"/>
        <v>551740</v>
      </c>
      <c r="AA96" s="148" t="str">
        <f t="shared" si="181"/>
        <v>99%</v>
      </c>
      <c r="AB96" s="148">
        <f t="shared" si="182"/>
        <v>1.0000000000000009E-2</v>
      </c>
      <c r="AC96" s="25">
        <f ca="1">TODAY()-39</f>
        <v>41083</v>
      </c>
      <c r="AD96" s="25">
        <f t="shared" ref="AD96:AE96" ca="1" si="266">TODAY()-39</f>
        <v>41083</v>
      </c>
      <c r="AE96" s="25">
        <f t="shared" ca="1" si="266"/>
        <v>41083</v>
      </c>
      <c r="AF96" s="8"/>
      <c r="AG96" s="59" t="str">
        <f t="shared" ca="1" si="183"/>
        <v>NA</v>
      </c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59" t="str">
        <f t="shared" si="228"/>
        <v>NA</v>
      </c>
      <c r="AS96" s="59" t="str">
        <f t="shared" si="229"/>
        <v/>
      </c>
      <c r="AT96" s="59"/>
      <c r="AU96" s="59" t="str">
        <f t="shared" si="162"/>
        <v>ND</v>
      </c>
      <c r="AV96" s="66"/>
      <c r="AW96" s="66"/>
      <c r="AX96" s="66"/>
      <c r="AY96" s="66"/>
      <c r="AZ96" s="8"/>
      <c r="BA96" s="8" t="s">
        <v>37</v>
      </c>
      <c r="BB96" s="8"/>
      <c r="BC96" s="8"/>
      <c r="BD96" s="8"/>
      <c r="BE96" s="8"/>
      <c r="BF96" s="8"/>
      <c r="BG96" s="8"/>
      <c r="BH96" s="8"/>
      <c r="BI96" s="8"/>
      <c r="BJ96" s="8"/>
      <c r="BK96" s="59"/>
      <c r="BL96" s="59"/>
      <c r="BM96" s="59"/>
      <c r="BN96" s="164">
        <v>0.01</v>
      </c>
      <c r="BO96" s="165">
        <f t="shared" si="184"/>
        <v>3753.3333333333335</v>
      </c>
      <c r="BP96" s="165">
        <f t="shared" ref="BP96:BQ96" si="267">BO96</f>
        <v>3753.3333333333335</v>
      </c>
      <c r="BQ96" s="165">
        <f t="shared" si="267"/>
        <v>3753.3333333333335</v>
      </c>
      <c r="BR96" s="59"/>
      <c r="BS96" s="59"/>
      <c r="BT96" s="59"/>
      <c r="BU96" s="59"/>
      <c r="BV96" s="59" t="str">
        <f t="shared" si="223"/>
        <v>ND</v>
      </c>
      <c r="BW96" s="59" t="str">
        <f t="shared" si="224"/>
        <v>ND</v>
      </c>
      <c r="BX96" s="59" t="str">
        <f t="shared" si="225"/>
        <v>ND</v>
      </c>
      <c r="BY96" s="59" t="str">
        <f t="shared" si="226"/>
        <v>ND</v>
      </c>
      <c r="BZ96" s="59" t="str">
        <f t="shared" si="164"/>
        <v>NA</v>
      </c>
      <c r="CA96" s="59" t="str">
        <f t="shared" si="165"/>
        <v/>
      </c>
      <c r="CB96" s="59" t="str">
        <f t="shared" si="166"/>
        <v>NA</v>
      </c>
      <c r="CC96" s="59" t="str">
        <f t="shared" si="167"/>
        <v/>
      </c>
      <c r="CD96" s="59" t="str">
        <f t="shared" si="168"/>
        <v>NA</v>
      </c>
      <c r="CE96" s="59" t="str">
        <f t="shared" si="169"/>
        <v/>
      </c>
      <c r="CF96" s="59" t="str">
        <f t="shared" si="170"/>
        <v>NA</v>
      </c>
      <c r="CG96" s="59" t="str">
        <f t="shared" ca="1" si="171"/>
        <v>NA</v>
      </c>
      <c r="CH96" s="59" t="str">
        <f t="shared" ca="1" si="172"/>
        <v>NA</v>
      </c>
      <c r="CI96" s="59" t="str">
        <f t="shared" ca="1" si="173"/>
        <v>DE 36 A 45 DIAS</v>
      </c>
      <c r="CJ96" s="59" t="str">
        <f t="shared" ca="1" si="174"/>
        <v>DE 36 A 45 DIAS</v>
      </c>
      <c r="CK96" s="59" t="str">
        <f t="shared" ca="1" si="175"/>
        <v>DE 36 A 45 DIAS</v>
      </c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>
        <f t="shared" si="186"/>
        <v>0</v>
      </c>
      <c r="DH96" s="8">
        <f t="shared" si="187"/>
        <v>0</v>
      </c>
      <c r="DI96" s="8">
        <f t="shared" si="188"/>
        <v>0</v>
      </c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59" t="str">
        <f t="shared" si="189"/>
        <v>NA</v>
      </c>
      <c r="DU96" s="59" t="str">
        <f t="shared" si="190"/>
        <v>NA</v>
      </c>
      <c r="DV96" s="59" t="str">
        <f t="shared" si="191"/>
        <v>NA</v>
      </c>
      <c r="DW96" s="59" t="str">
        <f t="shared" si="192"/>
        <v>NA</v>
      </c>
      <c r="DX96" s="59" t="str">
        <f t="shared" si="193"/>
        <v>NA</v>
      </c>
      <c r="DY96" s="59" t="str">
        <f t="shared" si="194"/>
        <v>NA</v>
      </c>
      <c r="DZ96" s="59" t="str">
        <f t="shared" si="195"/>
        <v>NA</v>
      </c>
      <c r="EA96" s="59" t="str">
        <f t="shared" si="196"/>
        <v>NA</v>
      </c>
      <c r="EB96" s="59" t="str">
        <f t="shared" si="197"/>
        <v>NA</v>
      </c>
      <c r="EC96" s="59" t="str">
        <f t="shared" si="198"/>
        <v>NA</v>
      </c>
      <c r="ED96" s="59" t="str">
        <f t="shared" si="199"/>
        <v/>
      </c>
      <c r="EE96" s="59" t="str">
        <f t="shared" si="200"/>
        <v/>
      </c>
      <c r="EF96" s="59" t="str">
        <f t="shared" si="201"/>
        <v/>
      </c>
      <c r="EG96" s="59" t="str">
        <f t="shared" si="202"/>
        <v/>
      </c>
      <c r="EH96" s="59" t="str">
        <f t="shared" si="203"/>
        <v/>
      </c>
      <c r="EI96" s="59" t="str">
        <f t="shared" si="204"/>
        <v/>
      </c>
      <c r="EJ96" s="59" t="str">
        <f t="shared" si="205"/>
        <v/>
      </c>
      <c r="EK96" s="59" t="str">
        <f t="shared" si="206"/>
        <v/>
      </c>
      <c r="EL96" s="59" t="str">
        <f t="shared" si="207"/>
        <v/>
      </c>
      <c r="EM96" s="59" t="str">
        <f t="shared" si="208"/>
        <v/>
      </c>
      <c r="EN96" s="59" t="str">
        <f t="shared" si="209"/>
        <v/>
      </c>
      <c r="EO96" s="59" t="str">
        <f t="shared" si="210"/>
        <v/>
      </c>
      <c r="EP96" s="59" t="str">
        <f t="shared" si="211"/>
        <v/>
      </c>
      <c r="EQ96" s="59" t="str">
        <f t="shared" si="212"/>
        <v/>
      </c>
      <c r="ER96" s="59" t="str">
        <f t="shared" si="213"/>
        <v/>
      </c>
      <c r="ES96" s="59" t="str">
        <f t="shared" si="214"/>
        <v/>
      </c>
      <c r="ET96" s="59" t="str">
        <f t="shared" si="215"/>
        <v/>
      </c>
      <c r="EU96" s="59" t="str">
        <f t="shared" si="216"/>
        <v/>
      </c>
      <c r="EV96" s="59" t="str">
        <f t="shared" si="217"/>
        <v/>
      </c>
      <c r="EW96" s="59" t="str">
        <f t="shared" si="218"/>
        <v/>
      </c>
      <c r="EX96" s="56">
        <f t="shared" si="176"/>
        <v>1126000</v>
      </c>
    </row>
    <row r="97" spans="1:154" x14ac:dyDescent="0.25">
      <c r="A97" s="2">
        <f t="shared" si="219"/>
        <v>96</v>
      </c>
      <c r="B97" s="2" t="s">
        <v>6</v>
      </c>
      <c r="C97" s="2" t="str">
        <f t="shared" si="177"/>
        <v>020703</v>
      </c>
      <c r="D97" s="2">
        <v>2</v>
      </c>
      <c r="E97" s="2">
        <v>7</v>
      </c>
      <c r="F97" s="2">
        <v>3</v>
      </c>
      <c r="G97" s="14" t="s">
        <v>15</v>
      </c>
      <c r="H97" s="130"/>
      <c r="I97" s="42" t="s">
        <v>58</v>
      </c>
      <c r="J97" s="9">
        <v>80</v>
      </c>
      <c r="K97" s="9"/>
      <c r="L97" s="10" t="s">
        <v>8</v>
      </c>
      <c r="M97" s="23" t="s">
        <v>177</v>
      </c>
      <c r="N97" s="7">
        <f t="shared" si="220"/>
        <v>1135000</v>
      </c>
      <c r="O97" s="8">
        <v>135</v>
      </c>
      <c r="P97" s="25">
        <v>41197</v>
      </c>
      <c r="Q97" s="8" t="str">
        <f t="shared" si="178"/>
        <v>2DA-OCT</v>
      </c>
      <c r="R97" s="26">
        <v>0.1</v>
      </c>
      <c r="S97" s="41" t="s">
        <v>34</v>
      </c>
      <c r="T97" s="8" t="s">
        <v>353</v>
      </c>
      <c r="U97" s="8"/>
      <c r="V97" s="7">
        <v>567500</v>
      </c>
      <c r="W97" s="7">
        <f t="shared" si="259"/>
        <v>556150</v>
      </c>
      <c r="X97" s="7">
        <f t="shared" si="179"/>
        <v>11350</v>
      </c>
      <c r="Y97" s="7">
        <v>0</v>
      </c>
      <c r="Z97" s="7">
        <f t="shared" si="180"/>
        <v>556150</v>
      </c>
      <c r="AA97" s="148" t="str">
        <f t="shared" si="181"/>
        <v>99%</v>
      </c>
      <c r="AB97" s="148">
        <f t="shared" si="182"/>
        <v>1.0000000000000009E-2</v>
      </c>
      <c r="AC97" s="25">
        <f ca="1">TODAY()-45</f>
        <v>41077</v>
      </c>
      <c r="AD97" s="25">
        <f t="shared" ref="AD97:AE97" ca="1" si="268">TODAY()-45</f>
        <v>41077</v>
      </c>
      <c r="AE97" s="25">
        <f t="shared" ca="1" si="268"/>
        <v>41077</v>
      </c>
      <c r="AF97" s="8"/>
      <c r="AG97" s="59" t="str">
        <f t="shared" ca="1" si="183"/>
        <v>NA</v>
      </c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59" t="str">
        <f t="shared" si="228"/>
        <v>NA</v>
      </c>
      <c r="AS97" s="59" t="str">
        <f t="shared" si="229"/>
        <v/>
      </c>
      <c r="AT97" s="59"/>
      <c r="AU97" s="59" t="str">
        <f t="shared" si="162"/>
        <v>ND</v>
      </c>
      <c r="AV97" s="66"/>
      <c r="AW97" s="66"/>
      <c r="AX97" s="66"/>
      <c r="AY97" s="66"/>
      <c r="AZ97" s="8"/>
      <c r="BA97" s="8" t="s">
        <v>37</v>
      </c>
      <c r="BB97" s="8"/>
      <c r="BC97" s="8"/>
      <c r="BD97" s="8"/>
      <c r="BE97" s="8"/>
      <c r="BF97" s="8"/>
      <c r="BG97" s="8"/>
      <c r="BH97" s="8"/>
      <c r="BI97" s="8"/>
      <c r="BJ97" s="8"/>
      <c r="BK97" s="59"/>
      <c r="BL97" s="59"/>
      <c r="BM97" s="59"/>
      <c r="BN97" s="164">
        <v>0.01</v>
      </c>
      <c r="BO97" s="165">
        <f t="shared" si="184"/>
        <v>3783.3333333333335</v>
      </c>
      <c r="BP97" s="165">
        <f t="shared" ref="BP97:BQ97" si="269">BO97</f>
        <v>3783.3333333333335</v>
      </c>
      <c r="BQ97" s="165">
        <f t="shared" si="269"/>
        <v>3783.3333333333335</v>
      </c>
      <c r="BR97" s="59"/>
      <c r="BS97" s="59"/>
      <c r="BT97" s="59"/>
      <c r="BU97" s="59"/>
      <c r="BV97" s="59" t="str">
        <f t="shared" si="223"/>
        <v>ND</v>
      </c>
      <c r="BW97" s="59" t="str">
        <f t="shared" si="224"/>
        <v>ND</v>
      </c>
      <c r="BX97" s="59" t="str">
        <f t="shared" si="225"/>
        <v>ND</v>
      </c>
      <c r="BY97" s="59" t="str">
        <f t="shared" si="226"/>
        <v>ND</v>
      </c>
      <c r="BZ97" s="59" t="str">
        <f t="shared" si="164"/>
        <v>NA</v>
      </c>
      <c r="CA97" s="59" t="str">
        <f t="shared" si="165"/>
        <v/>
      </c>
      <c r="CB97" s="59" t="str">
        <f t="shared" si="166"/>
        <v>NA</v>
      </c>
      <c r="CC97" s="59" t="str">
        <f t="shared" si="167"/>
        <v/>
      </c>
      <c r="CD97" s="59" t="str">
        <f t="shared" si="168"/>
        <v>NA</v>
      </c>
      <c r="CE97" s="59" t="str">
        <f t="shared" si="169"/>
        <v/>
      </c>
      <c r="CF97" s="59" t="str">
        <f t="shared" si="170"/>
        <v>NA</v>
      </c>
      <c r="CG97" s="59" t="str">
        <f t="shared" ca="1" si="171"/>
        <v>NA</v>
      </c>
      <c r="CH97" s="59" t="str">
        <f t="shared" ca="1" si="172"/>
        <v>NA</v>
      </c>
      <c r="CI97" s="59" t="str">
        <f t="shared" ca="1" si="173"/>
        <v>DE 36 A 45 DIAS</v>
      </c>
      <c r="CJ97" s="59" t="str">
        <f t="shared" ca="1" si="174"/>
        <v>DE 36 A 45 DIAS</v>
      </c>
      <c r="CK97" s="59" t="str">
        <f t="shared" ca="1" si="175"/>
        <v>DE 36 A 45 DIAS</v>
      </c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>
        <f t="shared" si="186"/>
        <v>0</v>
      </c>
      <c r="DH97" s="8">
        <f t="shared" si="187"/>
        <v>0</v>
      </c>
      <c r="DI97" s="8">
        <f t="shared" si="188"/>
        <v>0</v>
      </c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59" t="str">
        <f t="shared" si="189"/>
        <v>NA</v>
      </c>
      <c r="DU97" s="59" t="str">
        <f t="shared" si="190"/>
        <v>NA</v>
      </c>
      <c r="DV97" s="59" t="str">
        <f t="shared" si="191"/>
        <v>NA</v>
      </c>
      <c r="DW97" s="59" t="str">
        <f t="shared" si="192"/>
        <v>NA</v>
      </c>
      <c r="DX97" s="59" t="str">
        <f t="shared" si="193"/>
        <v>NA</v>
      </c>
      <c r="DY97" s="59" t="str">
        <f t="shared" si="194"/>
        <v>NA</v>
      </c>
      <c r="DZ97" s="59" t="str">
        <f t="shared" si="195"/>
        <v>NA</v>
      </c>
      <c r="EA97" s="59" t="str">
        <f t="shared" si="196"/>
        <v>NA</v>
      </c>
      <c r="EB97" s="59" t="str">
        <f t="shared" si="197"/>
        <v>NA</v>
      </c>
      <c r="EC97" s="59" t="str">
        <f t="shared" si="198"/>
        <v>NA</v>
      </c>
      <c r="ED97" s="59" t="str">
        <f t="shared" si="199"/>
        <v/>
      </c>
      <c r="EE97" s="59" t="str">
        <f t="shared" si="200"/>
        <v/>
      </c>
      <c r="EF97" s="59" t="str">
        <f t="shared" si="201"/>
        <v/>
      </c>
      <c r="EG97" s="59" t="str">
        <f t="shared" si="202"/>
        <v/>
      </c>
      <c r="EH97" s="59" t="str">
        <f t="shared" si="203"/>
        <v/>
      </c>
      <c r="EI97" s="59" t="str">
        <f t="shared" si="204"/>
        <v/>
      </c>
      <c r="EJ97" s="59" t="str">
        <f t="shared" si="205"/>
        <v/>
      </c>
      <c r="EK97" s="59" t="str">
        <f t="shared" si="206"/>
        <v/>
      </c>
      <c r="EL97" s="59" t="str">
        <f t="shared" si="207"/>
        <v/>
      </c>
      <c r="EM97" s="59" t="str">
        <f t="shared" si="208"/>
        <v/>
      </c>
      <c r="EN97" s="59" t="str">
        <f t="shared" si="209"/>
        <v/>
      </c>
      <c r="EO97" s="59" t="str">
        <f t="shared" si="210"/>
        <v/>
      </c>
      <c r="EP97" s="59" t="str">
        <f t="shared" si="211"/>
        <v/>
      </c>
      <c r="EQ97" s="59" t="str">
        <f t="shared" si="212"/>
        <v/>
      </c>
      <c r="ER97" s="59" t="str">
        <f t="shared" si="213"/>
        <v/>
      </c>
      <c r="ES97" s="59" t="str">
        <f t="shared" si="214"/>
        <v/>
      </c>
      <c r="ET97" s="59" t="str">
        <f t="shared" si="215"/>
        <v/>
      </c>
      <c r="EU97" s="59" t="str">
        <f t="shared" si="216"/>
        <v/>
      </c>
      <c r="EV97" s="59" t="str">
        <f t="shared" si="217"/>
        <v/>
      </c>
      <c r="EW97" s="59" t="str">
        <f t="shared" si="218"/>
        <v/>
      </c>
      <c r="EX97" s="56">
        <f t="shared" si="176"/>
        <v>1135000</v>
      </c>
    </row>
    <row r="98" spans="1:154" x14ac:dyDescent="0.25">
      <c r="A98" s="2">
        <f t="shared" si="219"/>
        <v>97</v>
      </c>
      <c r="B98" s="2" t="s">
        <v>6</v>
      </c>
      <c r="C98" s="2" t="str">
        <f t="shared" si="177"/>
        <v>020704</v>
      </c>
      <c r="D98" s="2">
        <v>2</v>
      </c>
      <c r="E98" s="2">
        <v>7</v>
      </c>
      <c r="F98" s="2">
        <v>4</v>
      </c>
      <c r="G98" s="14" t="s">
        <v>15</v>
      </c>
      <c r="H98" s="130"/>
      <c r="I98" s="42" t="s">
        <v>58</v>
      </c>
      <c r="J98" s="9">
        <v>80</v>
      </c>
      <c r="K98" s="5"/>
      <c r="L98" s="6" t="s">
        <v>306</v>
      </c>
      <c r="M98" s="23" t="s">
        <v>177</v>
      </c>
      <c r="N98" s="7">
        <f t="shared" si="220"/>
        <v>1126000</v>
      </c>
      <c r="O98" s="8">
        <v>136</v>
      </c>
      <c r="P98" s="25">
        <v>41197</v>
      </c>
      <c r="Q98" s="8" t="str">
        <f t="shared" si="178"/>
        <v>2DA-OCT</v>
      </c>
      <c r="R98" s="26">
        <v>0.1</v>
      </c>
      <c r="S98" s="41" t="s">
        <v>34</v>
      </c>
      <c r="T98" s="8" t="s">
        <v>353</v>
      </c>
      <c r="U98" s="8"/>
      <c r="V98" s="7">
        <v>563000</v>
      </c>
      <c r="W98" s="7">
        <f t="shared" si="259"/>
        <v>551740</v>
      </c>
      <c r="X98" s="7">
        <f t="shared" si="179"/>
        <v>11260</v>
      </c>
      <c r="Y98" s="7">
        <v>0</v>
      </c>
      <c r="Z98" s="7">
        <f t="shared" si="180"/>
        <v>551740</v>
      </c>
      <c r="AA98" s="148" t="str">
        <f t="shared" si="181"/>
        <v>99%</v>
      </c>
      <c r="AB98" s="148">
        <f t="shared" si="182"/>
        <v>1.0000000000000009E-2</v>
      </c>
      <c r="AC98" s="25">
        <f ca="1">TODAY()-50</f>
        <v>41072</v>
      </c>
      <c r="AD98" s="25">
        <f t="shared" ref="AD98:AE98" ca="1" si="270">TODAY()-50</f>
        <v>41072</v>
      </c>
      <c r="AE98" s="25">
        <f t="shared" ca="1" si="270"/>
        <v>41072</v>
      </c>
      <c r="AF98" s="8"/>
      <c r="AG98" s="59" t="str">
        <f t="shared" ca="1" si="183"/>
        <v>NA</v>
      </c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59" t="str">
        <f t="shared" si="228"/>
        <v>NA</v>
      </c>
      <c r="AS98" s="59" t="str">
        <f t="shared" si="229"/>
        <v/>
      </c>
      <c r="AT98" s="59"/>
      <c r="AU98" s="59" t="str">
        <f t="shared" si="162"/>
        <v>ND</v>
      </c>
      <c r="AV98" s="66"/>
      <c r="AW98" s="66"/>
      <c r="AX98" s="66"/>
      <c r="AY98" s="66"/>
      <c r="AZ98" s="8"/>
      <c r="BA98" s="8" t="s">
        <v>37</v>
      </c>
      <c r="BB98" s="8"/>
      <c r="BC98" s="8"/>
      <c r="BD98" s="8"/>
      <c r="BE98" s="8"/>
      <c r="BF98" s="8"/>
      <c r="BG98" s="8"/>
      <c r="BH98" s="8"/>
      <c r="BI98" s="8"/>
      <c r="BJ98" s="8"/>
      <c r="BK98" s="59"/>
      <c r="BL98" s="59"/>
      <c r="BM98" s="59"/>
      <c r="BN98" s="164">
        <v>0.01</v>
      </c>
      <c r="BO98" s="165">
        <f t="shared" si="184"/>
        <v>3753.3333333333335</v>
      </c>
      <c r="BP98" s="165">
        <f t="shared" ref="BP98:BQ98" si="271">BO98</f>
        <v>3753.3333333333335</v>
      </c>
      <c r="BQ98" s="165">
        <f t="shared" si="271"/>
        <v>3753.3333333333335</v>
      </c>
      <c r="BR98" s="59"/>
      <c r="BS98" s="59"/>
      <c r="BT98" s="59"/>
      <c r="BU98" s="59"/>
      <c r="BV98" s="59" t="str">
        <f t="shared" si="223"/>
        <v>ND</v>
      </c>
      <c r="BW98" s="59" t="str">
        <f t="shared" si="224"/>
        <v>ND</v>
      </c>
      <c r="BX98" s="59" t="str">
        <f t="shared" si="225"/>
        <v>ND</v>
      </c>
      <c r="BY98" s="59" t="str">
        <f t="shared" si="226"/>
        <v>ND</v>
      </c>
      <c r="BZ98" s="59" t="str">
        <f t="shared" si="164"/>
        <v>NA</v>
      </c>
      <c r="CA98" s="59" t="str">
        <f t="shared" si="165"/>
        <v/>
      </c>
      <c r="CB98" s="59" t="str">
        <f t="shared" si="166"/>
        <v>NA</v>
      </c>
      <c r="CC98" s="59" t="str">
        <f t="shared" si="167"/>
        <v/>
      </c>
      <c r="CD98" s="59" t="str">
        <f t="shared" si="168"/>
        <v>NA</v>
      </c>
      <c r="CE98" s="59" t="str">
        <f t="shared" si="169"/>
        <v/>
      </c>
      <c r="CF98" s="59" t="str">
        <f t="shared" si="170"/>
        <v>NA</v>
      </c>
      <c r="CG98" s="59" t="str">
        <f t="shared" ca="1" si="171"/>
        <v>NA</v>
      </c>
      <c r="CH98" s="59" t="str">
        <f t="shared" ca="1" si="172"/>
        <v>NA</v>
      </c>
      <c r="CI98" s="59" t="str">
        <f t="shared" ca="1" si="173"/>
        <v>MAYOR A 45 DIAS</v>
      </c>
      <c r="CJ98" s="59" t="str">
        <f t="shared" ca="1" si="174"/>
        <v>MAYOR A 45 DIAS</v>
      </c>
      <c r="CK98" s="59" t="str">
        <f t="shared" ca="1" si="175"/>
        <v>MAYOR A 45 DIAS</v>
      </c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>
        <f t="shared" si="186"/>
        <v>0</v>
      </c>
      <c r="DH98" s="8">
        <f t="shared" si="187"/>
        <v>0</v>
      </c>
      <c r="DI98" s="8">
        <f t="shared" si="188"/>
        <v>0</v>
      </c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59" t="str">
        <f t="shared" si="189"/>
        <v>NA</v>
      </c>
      <c r="DU98" s="59" t="str">
        <f t="shared" si="190"/>
        <v>NA</v>
      </c>
      <c r="DV98" s="59" t="str">
        <f t="shared" si="191"/>
        <v>NA</v>
      </c>
      <c r="DW98" s="59" t="str">
        <f t="shared" si="192"/>
        <v>NA</v>
      </c>
      <c r="DX98" s="59" t="str">
        <f t="shared" si="193"/>
        <v>NA</v>
      </c>
      <c r="DY98" s="59" t="str">
        <f t="shared" si="194"/>
        <v>NA</v>
      </c>
      <c r="DZ98" s="59" t="str">
        <f t="shared" si="195"/>
        <v>NA</v>
      </c>
      <c r="EA98" s="59" t="str">
        <f t="shared" si="196"/>
        <v>NA</v>
      </c>
      <c r="EB98" s="59" t="str">
        <f t="shared" si="197"/>
        <v>NA</v>
      </c>
      <c r="EC98" s="59" t="str">
        <f t="shared" si="198"/>
        <v>NA</v>
      </c>
      <c r="ED98" s="59" t="str">
        <f t="shared" si="199"/>
        <v/>
      </c>
      <c r="EE98" s="59" t="str">
        <f t="shared" si="200"/>
        <v/>
      </c>
      <c r="EF98" s="59" t="str">
        <f t="shared" si="201"/>
        <v/>
      </c>
      <c r="EG98" s="59" t="str">
        <f t="shared" si="202"/>
        <v/>
      </c>
      <c r="EH98" s="59" t="str">
        <f t="shared" si="203"/>
        <v/>
      </c>
      <c r="EI98" s="59" t="str">
        <f t="shared" si="204"/>
        <v/>
      </c>
      <c r="EJ98" s="59" t="str">
        <f t="shared" si="205"/>
        <v/>
      </c>
      <c r="EK98" s="59" t="str">
        <f t="shared" si="206"/>
        <v/>
      </c>
      <c r="EL98" s="59" t="str">
        <f t="shared" si="207"/>
        <v/>
      </c>
      <c r="EM98" s="59" t="str">
        <f t="shared" si="208"/>
        <v/>
      </c>
      <c r="EN98" s="59" t="str">
        <f t="shared" si="209"/>
        <v/>
      </c>
      <c r="EO98" s="59" t="str">
        <f t="shared" si="210"/>
        <v/>
      </c>
      <c r="EP98" s="59" t="str">
        <f t="shared" si="211"/>
        <v/>
      </c>
      <c r="EQ98" s="59" t="str">
        <f t="shared" si="212"/>
        <v/>
      </c>
      <c r="ER98" s="59" t="str">
        <f t="shared" si="213"/>
        <v/>
      </c>
      <c r="ES98" s="59" t="str">
        <f t="shared" si="214"/>
        <v/>
      </c>
      <c r="ET98" s="59" t="str">
        <f t="shared" si="215"/>
        <v/>
      </c>
      <c r="EU98" s="59" t="str">
        <f t="shared" si="216"/>
        <v/>
      </c>
      <c r="EV98" s="59" t="str">
        <f t="shared" si="217"/>
        <v/>
      </c>
      <c r="EW98" s="59" t="str">
        <f t="shared" si="218"/>
        <v/>
      </c>
      <c r="EX98" s="56">
        <f t="shared" si="176"/>
        <v>1126000</v>
      </c>
    </row>
    <row r="99" spans="1:154" x14ac:dyDescent="0.25">
      <c r="A99" s="2">
        <f t="shared" si="219"/>
        <v>98</v>
      </c>
      <c r="B99" s="2" t="s">
        <v>6</v>
      </c>
      <c r="C99" s="2" t="str">
        <f t="shared" si="177"/>
        <v>020705</v>
      </c>
      <c r="D99" s="2">
        <v>2</v>
      </c>
      <c r="E99" s="2">
        <v>7</v>
      </c>
      <c r="F99" s="2">
        <v>5</v>
      </c>
      <c r="G99" s="14" t="s">
        <v>15</v>
      </c>
      <c r="H99" s="130"/>
      <c r="I99" s="42" t="s">
        <v>58</v>
      </c>
      <c r="J99" s="9">
        <v>80</v>
      </c>
      <c r="K99" s="5"/>
      <c r="L99" s="6" t="s">
        <v>306</v>
      </c>
      <c r="M99" s="23" t="s">
        <v>177</v>
      </c>
      <c r="N99" s="7">
        <f t="shared" si="220"/>
        <v>1126000</v>
      </c>
      <c r="O99" s="8">
        <v>137</v>
      </c>
      <c r="P99" s="25">
        <v>41197</v>
      </c>
      <c r="Q99" s="8" t="str">
        <f t="shared" si="178"/>
        <v>2DA-OCT</v>
      </c>
      <c r="R99" s="26">
        <v>0.1</v>
      </c>
      <c r="S99" s="41" t="s">
        <v>34</v>
      </c>
      <c r="T99" s="8" t="s">
        <v>353</v>
      </c>
      <c r="U99" s="8"/>
      <c r="V99" s="7">
        <v>563000</v>
      </c>
      <c r="W99" s="7">
        <f t="shared" si="259"/>
        <v>551740</v>
      </c>
      <c r="X99" s="7">
        <f t="shared" si="179"/>
        <v>11260</v>
      </c>
      <c r="Y99" s="7">
        <v>0</v>
      </c>
      <c r="Z99" s="7">
        <f t="shared" si="180"/>
        <v>551740</v>
      </c>
      <c r="AA99" s="148" t="str">
        <f t="shared" si="181"/>
        <v>99%</v>
      </c>
      <c r="AB99" s="148">
        <f t="shared" si="182"/>
        <v>1.0000000000000009E-2</v>
      </c>
      <c r="AC99" s="25">
        <f ca="1">TODAY()-4</f>
        <v>41118</v>
      </c>
      <c r="AD99" s="25">
        <f t="shared" ref="AD99:AE99" ca="1" si="272">TODAY()-4</f>
        <v>41118</v>
      </c>
      <c r="AE99" s="25">
        <f t="shared" ca="1" si="272"/>
        <v>41118</v>
      </c>
      <c r="AF99" s="8"/>
      <c r="AG99" s="59" t="str">
        <f t="shared" ca="1" si="183"/>
        <v>NA</v>
      </c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59" t="str">
        <f t="shared" si="228"/>
        <v>NA</v>
      </c>
      <c r="AS99" s="59" t="str">
        <f t="shared" si="229"/>
        <v/>
      </c>
      <c r="AT99" s="59"/>
      <c r="AU99" s="59" t="str">
        <f t="shared" si="162"/>
        <v>ND</v>
      </c>
      <c r="AV99" s="66"/>
      <c r="AW99" s="66"/>
      <c r="AX99" s="66"/>
      <c r="AY99" s="66"/>
      <c r="AZ99" s="8"/>
      <c r="BA99" s="8" t="s">
        <v>37</v>
      </c>
      <c r="BB99" s="8"/>
      <c r="BC99" s="8"/>
      <c r="BD99" s="8"/>
      <c r="BE99" s="8"/>
      <c r="BF99" s="8"/>
      <c r="BG99" s="8"/>
      <c r="BH99" s="8"/>
      <c r="BI99" s="8"/>
      <c r="BJ99" s="8"/>
      <c r="BK99" s="59"/>
      <c r="BL99" s="59"/>
      <c r="BM99" s="59"/>
      <c r="BN99" s="164">
        <v>0.01</v>
      </c>
      <c r="BO99" s="165">
        <f t="shared" si="184"/>
        <v>3753.3333333333335</v>
      </c>
      <c r="BP99" s="165">
        <f t="shared" ref="BP99:BQ99" si="273">BO99</f>
        <v>3753.3333333333335</v>
      </c>
      <c r="BQ99" s="165">
        <f t="shared" si="273"/>
        <v>3753.3333333333335</v>
      </c>
      <c r="BR99" s="59"/>
      <c r="BS99" s="59"/>
      <c r="BT99" s="59"/>
      <c r="BU99" s="59"/>
      <c r="BV99" s="59" t="str">
        <f t="shared" si="223"/>
        <v>ND</v>
      </c>
      <c r="BW99" s="59" t="str">
        <f t="shared" si="224"/>
        <v>ND</v>
      </c>
      <c r="BX99" s="59" t="str">
        <f t="shared" si="225"/>
        <v>ND</v>
      </c>
      <c r="BY99" s="59" t="str">
        <f t="shared" si="226"/>
        <v>ND</v>
      </c>
      <c r="BZ99" s="59" t="str">
        <f t="shared" si="164"/>
        <v>NA</v>
      </c>
      <c r="CA99" s="59" t="str">
        <f t="shared" si="165"/>
        <v/>
      </c>
      <c r="CB99" s="59" t="str">
        <f t="shared" si="166"/>
        <v>NA</v>
      </c>
      <c r="CC99" s="59" t="str">
        <f t="shared" si="167"/>
        <v/>
      </c>
      <c r="CD99" s="59" t="str">
        <f t="shared" si="168"/>
        <v>NA</v>
      </c>
      <c r="CE99" s="59" t="str">
        <f t="shared" si="169"/>
        <v/>
      </c>
      <c r="CF99" s="59" t="str">
        <f t="shared" si="170"/>
        <v>NA</v>
      </c>
      <c r="CG99" s="59" t="str">
        <f t="shared" ca="1" si="171"/>
        <v>NA</v>
      </c>
      <c r="CH99" s="59" t="str">
        <f t="shared" ca="1" si="172"/>
        <v>NA</v>
      </c>
      <c r="CI99" s="59" t="str">
        <f t="shared" ca="1" si="173"/>
        <v>HASTA 5 DIAS</v>
      </c>
      <c r="CJ99" s="59" t="str">
        <f t="shared" ca="1" si="174"/>
        <v>HASTA 5 DIAS</v>
      </c>
      <c r="CK99" s="59" t="str">
        <f t="shared" ca="1" si="175"/>
        <v>HASTA 5 DIAS</v>
      </c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>
        <f t="shared" si="186"/>
        <v>0</v>
      </c>
      <c r="DH99" s="8">
        <f t="shared" si="187"/>
        <v>0</v>
      </c>
      <c r="DI99" s="8">
        <f t="shared" si="188"/>
        <v>0</v>
      </c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59" t="str">
        <f t="shared" si="189"/>
        <v>NA</v>
      </c>
      <c r="DU99" s="59" t="str">
        <f t="shared" si="190"/>
        <v>NA</v>
      </c>
      <c r="DV99" s="59" t="str">
        <f t="shared" si="191"/>
        <v>NA</v>
      </c>
      <c r="DW99" s="59" t="str">
        <f t="shared" si="192"/>
        <v>NA</v>
      </c>
      <c r="DX99" s="59" t="str">
        <f t="shared" si="193"/>
        <v>NA</v>
      </c>
      <c r="DY99" s="59" t="str">
        <f t="shared" si="194"/>
        <v>NA</v>
      </c>
      <c r="DZ99" s="59" t="str">
        <f t="shared" si="195"/>
        <v>NA</v>
      </c>
      <c r="EA99" s="59" t="str">
        <f t="shared" si="196"/>
        <v>NA</v>
      </c>
      <c r="EB99" s="59" t="str">
        <f t="shared" si="197"/>
        <v>NA</v>
      </c>
      <c r="EC99" s="59" t="str">
        <f t="shared" si="198"/>
        <v>NA</v>
      </c>
      <c r="ED99" s="59" t="str">
        <f t="shared" si="199"/>
        <v/>
      </c>
      <c r="EE99" s="59" t="str">
        <f t="shared" si="200"/>
        <v/>
      </c>
      <c r="EF99" s="59" t="str">
        <f t="shared" si="201"/>
        <v/>
      </c>
      <c r="EG99" s="59" t="str">
        <f t="shared" si="202"/>
        <v/>
      </c>
      <c r="EH99" s="59" t="str">
        <f t="shared" si="203"/>
        <v/>
      </c>
      <c r="EI99" s="59" t="str">
        <f t="shared" si="204"/>
        <v/>
      </c>
      <c r="EJ99" s="59" t="str">
        <f t="shared" si="205"/>
        <v/>
      </c>
      <c r="EK99" s="59" t="str">
        <f t="shared" si="206"/>
        <v/>
      </c>
      <c r="EL99" s="59" t="str">
        <f t="shared" si="207"/>
        <v/>
      </c>
      <c r="EM99" s="59" t="str">
        <f t="shared" si="208"/>
        <v/>
      </c>
      <c r="EN99" s="59" t="str">
        <f t="shared" si="209"/>
        <v/>
      </c>
      <c r="EO99" s="59" t="str">
        <f t="shared" si="210"/>
        <v/>
      </c>
      <c r="EP99" s="59" t="str">
        <f t="shared" si="211"/>
        <v/>
      </c>
      <c r="EQ99" s="59" t="str">
        <f t="shared" si="212"/>
        <v/>
      </c>
      <c r="ER99" s="59" t="str">
        <f t="shared" si="213"/>
        <v/>
      </c>
      <c r="ES99" s="59" t="str">
        <f t="shared" si="214"/>
        <v/>
      </c>
      <c r="ET99" s="59" t="str">
        <f t="shared" si="215"/>
        <v/>
      </c>
      <c r="EU99" s="59" t="str">
        <f t="shared" si="216"/>
        <v/>
      </c>
      <c r="EV99" s="59" t="str">
        <f t="shared" si="217"/>
        <v/>
      </c>
      <c r="EW99" s="59" t="str">
        <f t="shared" si="218"/>
        <v/>
      </c>
      <c r="EX99" s="56">
        <f t="shared" si="176"/>
        <v>1126000</v>
      </c>
    </row>
    <row r="100" spans="1:154" x14ac:dyDescent="0.25">
      <c r="A100" s="2">
        <f t="shared" si="219"/>
        <v>99</v>
      </c>
      <c r="B100" s="2" t="s">
        <v>6</v>
      </c>
      <c r="C100" s="2" t="str">
        <f t="shared" si="177"/>
        <v>020706</v>
      </c>
      <c r="D100" s="2">
        <v>2</v>
      </c>
      <c r="E100" s="2">
        <v>7</v>
      </c>
      <c r="F100" s="2">
        <v>6</v>
      </c>
      <c r="G100" s="14" t="s">
        <v>15</v>
      </c>
      <c r="H100" s="130"/>
      <c r="I100" s="42" t="s">
        <v>58</v>
      </c>
      <c r="J100" s="9">
        <v>80</v>
      </c>
      <c r="K100" s="9"/>
      <c r="L100" s="10" t="s">
        <v>8</v>
      </c>
      <c r="M100" s="23" t="s">
        <v>177</v>
      </c>
      <c r="N100" s="7">
        <f t="shared" si="220"/>
        <v>1135000</v>
      </c>
      <c r="O100" s="8">
        <v>138</v>
      </c>
      <c r="P100" s="25">
        <v>41197</v>
      </c>
      <c r="Q100" s="8" t="str">
        <f t="shared" si="178"/>
        <v>2DA-OCT</v>
      </c>
      <c r="R100" s="26">
        <v>0.1</v>
      </c>
      <c r="S100" s="41" t="s">
        <v>34</v>
      </c>
      <c r="T100" s="8" t="s">
        <v>353</v>
      </c>
      <c r="U100" s="8"/>
      <c r="V100" s="7">
        <v>567500</v>
      </c>
      <c r="W100" s="7">
        <f t="shared" si="259"/>
        <v>556150</v>
      </c>
      <c r="X100" s="7">
        <f t="shared" si="179"/>
        <v>11350</v>
      </c>
      <c r="Y100" s="7">
        <v>0</v>
      </c>
      <c r="Z100" s="7">
        <f t="shared" si="180"/>
        <v>556150</v>
      </c>
      <c r="AA100" s="148" t="str">
        <f t="shared" si="181"/>
        <v>99%</v>
      </c>
      <c r="AB100" s="148">
        <f t="shared" si="182"/>
        <v>1.0000000000000009E-2</v>
      </c>
      <c r="AC100" s="25">
        <f ca="1">TODAY()-9</f>
        <v>41113</v>
      </c>
      <c r="AD100" s="25">
        <f t="shared" ref="AD100:AE100" ca="1" si="274">TODAY()-9</f>
        <v>41113</v>
      </c>
      <c r="AE100" s="25">
        <f t="shared" ca="1" si="274"/>
        <v>41113</v>
      </c>
      <c r="AF100" s="8"/>
      <c r="AG100" s="59" t="str">
        <f t="shared" ca="1" si="183"/>
        <v>NA</v>
      </c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59" t="str">
        <f t="shared" si="228"/>
        <v>NA</v>
      </c>
      <c r="AS100" s="59" t="str">
        <f t="shared" si="229"/>
        <v/>
      </c>
      <c r="AT100" s="59"/>
      <c r="AU100" s="59" t="str">
        <f t="shared" si="162"/>
        <v>ND</v>
      </c>
      <c r="AV100" s="66"/>
      <c r="AW100" s="66"/>
      <c r="AX100" s="66"/>
      <c r="AY100" s="66"/>
      <c r="AZ100" s="8"/>
      <c r="BA100" s="8" t="s">
        <v>37</v>
      </c>
      <c r="BB100" s="8"/>
      <c r="BC100" s="8"/>
      <c r="BD100" s="8"/>
      <c r="BE100" s="8"/>
      <c r="BF100" s="8"/>
      <c r="BG100" s="8"/>
      <c r="BH100" s="8"/>
      <c r="BI100" s="8"/>
      <c r="BJ100" s="8"/>
      <c r="BK100" s="59"/>
      <c r="BL100" s="59"/>
      <c r="BM100" s="59"/>
      <c r="BN100" s="164">
        <v>0.01</v>
      </c>
      <c r="BO100" s="165">
        <f t="shared" si="184"/>
        <v>3783.3333333333335</v>
      </c>
      <c r="BP100" s="165">
        <f t="shared" ref="BP100:BQ100" si="275">BO100</f>
        <v>3783.3333333333335</v>
      </c>
      <c r="BQ100" s="165">
        <f t="shared" si="275"/>
        <v>3783.3333333333335</v>
      </c>
      <c r="BR100" s="59"/>
      <c r="BS100" s="59"/>
      <c r="BT100" s="59"/>
      <c r="BU100" s="59"/>
      <c r="BV100" s="59" t="str">
        <f t="shared" si="223"/>
        <v>ND</v>
      </c>
      <c r="BW100" s="59" t="str">
        <f t="shared" si="224"/>
        <v>ND</v>
      </c>
      <c r="BX100" s="59" t="str">
        <f t="shared" si="225"/>
        <v>ND</v>
      </c>
      <c r="BY100" s="59" t="str">
        <f t="shared" si="226"/>
        <v>ND</v>
      </c>
      <c r="BZ100" s="59" t="str">
        <f t="shared" si="164"/>
        <v>NA</v>
      </c>
      <c r="CA100" s="59" t="str">
        <f t="shared" si="165"/>
        <v/>
      </c>
      <c r="CB100" s="59" t="str">
        <f t="shared" si="166"/>
        <v>NA</v>
      </c>
      <c r="CC100" s="59" t="str">
        <f t="shared" si="167"/>
        <v/>
      </c>
      <c r="CD100" s="59" t="str">
        <f t="shared" si="168"/>
        <v>NA</v>
      </c>
      <c r="CE100" s="59" t="str">
        <f t="shared" si="169"/>
        <v/>
      </c>
      <c r="CF100" s="59" t="str">
        <f t="shared" si="170"/>
        <v>NA</v>
      </c>
      <c r="CG100" s="59" t="str">
        <f t="shared" ca="1" si="171"/>
        <v>NA</v>
      </c>
      <c r="CH100" s="59" t="str">
        <f t="shared" ca="1" si="172"/>
        <v>NA</v>
      </c>
      <c r="CI100" s="59" t="str">
        <f t="shared" ca="1" si="173"/>
        <v>DE 6 A 10 DIAS</v>
      </c>
      <c r="CJ100" s="59" t="str">
        <f t="shared" ca="1" si="174"/>
        <v>DE 6 A 10 DIAS</v>
      </c>
      <c r="CK100" s="59" t="str">
        <f t="shared" ca="1" si="175"/>
        <v>DE 6 A 10 DIAS</v>
      </c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>
        <f t="shared" si="186"/>
        <v>0</v>
      </c>
      <c r="DH100" s="8">
        <f t="shared" si="187"/>
        <v>0</v>
      </c>
      <c r="DI100" s="8">
        <f t="shared" si="188"/>
        <v>0</v>
      </c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59" t="str">
        <f t="shared" si="189"/>
        <v>NA</v>
      </c>
      <c r="DU100" s="59" t="str">
        <f t="shared" si="190"/>
        <v>NA</v>
      </c>
      <c r="DV100" s="59" t="str">
        <f t="shared" si="191"/>
        <v>NA</v>
      </c>
      <c r="DW100" s="59" t="str">
        <f t="shared" si="192"/>
        <v>NA</v>
      </c>
      <c r="DX100" s="59" t="str">
        <f t="shared" si="193"/>
        <v>NA</v>
      </c>
      <c r="DY100" s="59" t="str">
        <f t="shared" si="194"/>
        <v>NA</v>
      </c>
      <c r="DZ100" s="59" t="str">
        <f t="shared" si="195"/>
        <v>NA</v>
      </c>
      <c r="EA100" s="59" t="str">
        <f t="shared" si="196"/>
        <v>NA</v>
      </c>
      <c r="EB100" s="59" t="str">
        <f t="shared" si="197"/>
        <v>NA</v>
      </c>
      <c r="EC100" s="59" t="str">
        <f t="shared" si="198"/>
        <v>NA</v>
      </c>
      <c r="ED100" s="59" t="str">
        <f t="shared" si="199"/>
        <v/>
      </c>
      <c r="EE100" s="59" t="str">
        <f t="shared" si="200"/>
        <v/>
      </c>
      <c r="EF100" s="59" t="str">
        <f t="shared" si="201"/>
        <v/>
      </c>
      <c r="EG100" s="59" t="str">
        <f t="shared" si="202"/>
        <v/>
      </c>
      <c r="EH100" s="59" t="str">
        <f t="shared" si="203"/>
        <v/>
      </c>
      <c r="EI100" s="59" t="str">
        <f t="shared" si="204"/>
        <v/>
      </c>
      <c r="EJ100" s="59" t="str">
        <f t="shared" si="205"/>
        <v/>
      </c>
      <c r="EK100" s="59" t="str">
        <f t="shared" si="206"/>
        <v/>
      </c>
      <c r="EL100" s="59" t="str">
        <f t="shared" si="207"/>
        <v/>
      </c>
      <c r="EM100" s="59" t="str">
        <f t="shared" si="208"/>
        <v/>
      </c>
      <c r="EN100" s="59" t="str">
        <f t="shared" si="209"/>
        <v/>
      </c>
      <c r="EO100" s="59" t="str">
        <f t="shared" si="210"/>
        <v/>
      </c>
      <c r="EP100" s="59" t="str">
        <f t="shared" si="211"/>
        <v/>
      </c>
      <c r="EQ100" s="59" t="str">
        <f t="shared" si="212"/>
        <v/>
      </c>
      <c r="ER100" s="59" t="str">
        <f t="shared" si="213"/>
        <v/>
      </c>
      <c r="ES100" s="59" t="str">
        <f t="shared" si="214"/>
        <v/>
      </c>
      <c r="ET100" s="59" t="str">
        <f t="shared" si="215"/>
        <v/>
      </c>
      <c r="EU100" s="59" t="str">
        <f t="shared" si="216"/>
        <v/>
      </c>
      <c r="EV100" s="59" t="str">
        <f t="shared" si="217"/>
        <v/>
      </c>
      <c r="EW100" s="59" t="str">
        <f t="shared" si="218"/>
        <v/>
      </c>
      <c r="EX100" s="56">
        <f t="shared" si="176"/>
        <v>1135000</v>
      </c>
    </row>
    <row r="101" spans="1:154" x14ac:dyDescent="0.25">
      <c r="A101" s="2">
        <f t="shared" si="219"/>
        <v>100</v>
      </c>
      <c r="B101" s="2" t="s">
        <v>6</v>
      </c>
      <c r="C101" s="2" t="str">
        <f t="shared" si="177"/>
        <v>020707</v>
      </c>
      <c r="D101" s="2">
        <v>2</v>
      </c>
      <c r="E101" s="2">
        <v>7</v>
      </c>
      <c r="F101" s="2">
        <v>7</v>
      </c>
      <c r="G101" s="14" t="s">
        <v>15</v>
      </c>
      <c r="H101" s="130"/>
      <c r="I101" s="42" t="s">
        <v>58</v>
      </c>
      <c r="J101" s="9">
        <v>80</v>
      </c>
      <c r="K101" s="5"/>
      <c r="L101" s="6" t="s">
        <v>306</v>
      </c>
      <c r="M101" s="23" t="s">
        <v>177</v>
      </c>
      <c r="N101" s="7">
        <f t="shared" si="220"/>
        <v>1126000</v>
      </c>
      <c r="O101" s="8">
        <v>139</v>
      </c>
      <c r="P101" s="25">
        <v>41197</v>
      </c>
      <c r="Q101" s="8" t="str">
        <f t="shared" si="178"/>
        <v>2DA-OCT</v>
      </c>
      <c r="R101" s="26">
        <v>0.1</v>
      </c>
      <c r="S101" s="41" t="s">
        <v>34</v>
      </c>
      <c r="T101" s="8" t="s">
        <v>353</v>
      </c>
      <c r="U101" s="8"/>
      <c r="V101" s="7">
        <v>563000</v>
      </c>
      <c r="W101" s="7">
        <f t="shared" si="259"/>
        <v>551740</v>
      </c>
      <c r="X101" s="7">
        <f t="shared" si="179"/>
        <v>11260</v>
      </c>
      <c r="Y101" s="7">
        <v>0</v>
      </c>
      <c r="Z101" s="7">
        <f t="shared" si="180"/>
        <v>551740</v>
      </c>
      <c r="AA101" s="148" t="str">
        <f t="shared" si="181"/>
        <v>99%</v>
      </c>
      <c r="AB101" s="148">
        <f t="shared" si="182"/>
        <v>1.0000000000000009E-2</v>
      </c>
      <c r="AC101" s="25">
        <f ca="1">TODAY()-14</f>
        <v>41108</v>
      </c>
      <c r="AD101" s="25">
        <f t="shared" ref="AD101:AE101" ca="1" si="276">TODAY()-14</f>
        <v>41108</v>
      </c>
      <c r="AE101" s="25">
        <f t="shared" ca="1" si="276"/>
        <v>41108</v>
      </c>
      <c r="AF101" s="8"/>
      <c r="AG101" s="59" t="str">
        <f t="shared" ca="1" si="183"/>
        <v>NA</v>
      </c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59" t="str">
        <f t="shared" si="228"/>
        <v>NA</v>
      </c>
      <c r="AS101" s="59" t="str">
        <f t="shared" si="229"/>
        <v/>
      </c>
      <c r="AT101" s="59"/>
      <c r="AU101" s="59" t="str">
        <f t="shared" si="162"/>
        <v>ND</v>
      </c>
      <c r="AV101" s="66"/>
      <c r="AW101" s="66"/>
      <c r="AX101" s="66"/>
      <c r="AY101" s="66"/>
      <c r="AZ101" s="8"/>
      <c r="BA101" s="8" t="s">
        <v>37</v>
      </c>
      <c r="BB101" s="8"/>
      <c r="BC101" s="8"/>
      <c r="BD101" s="8"/>
      <c r="BE101" s="8"/>
      <c r="BF101" s="8"/>
      <c r="BG101" s="8"/>
      <c r="BH101" s="8"/>
      <c r="BI101" s="8"/>
      <c r="BJ101" s="8"/>
      <c r="BK101" s="59"/>
      <c r="BL101" s="59"/>
      <c r="BM101" s="59"/>
      <c r="BN101" s="164">
        <v>0.01</v>
      </c>
      <c r="BO101" s="165">
        <f t="shared" si="184"/>
        <v>3753.3333333333335</v>
      </c>
      <c r="BP101" s="165">
        <f t="shared" ref="BP101:BQ101" si="277">BO101</f>
        <v>3753.3333333333335</v>
      </c>
      <c r="BQ101" s="165">
        <f t="shared" si="277"/>
        <v>3753.3333333333335</v>
      </c>
      <c r="BR101" s="59"/>
      <c r="BS101" s="59"/>
      <c r="BT101" s="59"/>
      <c r="BU101" s="59"/>
      <c r="BV101" s="59" t="str">
        <f t="shared" si="223"/>
        <v>ND</v>
      </c>
      <c r="BW101" s="59" t="str">
        <f t="shared" si="224"/>
        <v>ND</v>
      </c>
      <c r="BX101" s="59" t="str">
        <f t="shared" si="225"/>
        <v>ND</v>
      </c>
      <c r="BY101" s="59" t="str">
        <f t="shared" si="226"/>
        <v>ND</v>
      </c>
      <c r="BZ101" s="59" t="str">
        <f t="shared" si="164"/>
        <v>NA</v>
      </c>
      <c r="CA101" s="59" t="str">
        <f t="shared" si="165"/>
        <v/>
      </c>
      <c r="CB101" s="59" t="str">
        <f t="shared" si="166"/>
        <v>NA</v>
      </c>
      <c r="CC101" s="59" t="str">
        <f t="shared" si="167"/>
        <v/>
      </c>
      <c r="CD101" s="59" t="str">
        <f t="shared" si="168"/>
        <v>NA</v>
      </c>
      <c r="CE101" s="59" t="str">
        <f t="shared" si="169"/>
        <v/>
      </c>
      <c r="CF101" s="59" t="str">
        <f t="shared" si="170"/>
        <v>NA</v>
      </c>
      <c r="CG101" s="59" t="str">
        <f t="shared" ca="1" si="171"/>
        <v>NA</v>
      </c>
      <c r="CH101" s="59" t="str">
        <f t="shared" ca="1" si="172"/>
        <v>NA</v>
      </c>
      <c r="CI101" s="59" t="str">
        <f t="shared" ca="1" si="173"/>
        <v>DE 11 A 15 DIAS</v>
      </c>
      <c r="CJ101" s="59" t="str">
        <f t="shared" ca="1" si="174"/>
        <v>DE 11 A 15 DIAS</v>
      </c>
      <c r="CK101" s="59" t="str">
        <f t="shared" ca="1" si="175"/>
        <v>DE 11 A 15 DIAS</v>
      </c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>
        <f t="shared" si="186"/>
        <v>0</v>
      </c>
      <c r="DH101" s="8">
        <f t="shared" si="187"/>
        <v>0</v>
      </c>
      <c r="DI101" s="8">
        <f t="shared" si="188"/>
        <v>0</v>
      </c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59" t="str">
        <f t="shared" si="189"/>
        <v>NA</v>
      </c>
      <c r="DU101" s="59" t="str">
        <f t="shared" si="190"/>
        <v>NA</v>
      </c>
      <c r="DV101" s="59" t="str">
        <f t="shared" si="191"/>
        <v>NA</v>
      </c>
      <c r="DW101" s="59" t="str">
        <f t="shared" si="192"/>
        <v>NA</v>
      </c>
      <c r="DX101" s="59" t="str">
        <f t="shared" si="193"/>
        <v>NA</v>
      </c>
      <c r="DY101" s="59" t="str">
        <f t="shared" si="194"/>
        <v>NA</v>
      </c>
      <c r="DZ101" s="59" t="str">
        <f t="shared" si="195"/>
        <v>NA</v>
      </c>
      <c r="EA101" s="59" t="str">
        <f t="shared" si="196"/>
        <v>NA</v>
      </c>
      <c r="EB101" s="59" t="str">
        <f t="shared" si="197"/>
        <v>NA</v>
      </c>
      <c r="EC101" s="59" t="str">
        <f t="shared" si="198"/>
        <v>NA</v>
      </c>
      <c r="ED101" s="59" t="str">
        <f t="shared" si="199"/>
        <v/>
      </c>
      <c r="EE101" s="59" t="str">
        <f t="shared" si="200"/>
        <v/>
      </c>
      <c r="EF101" s="59" t="str">
        <f t="shared" si="201"/>
        <v/>
      </c>
      <c r="EG101" s="59" t="str">
        <f t="shared" si="202"/>
        <v/>
      </c>
      <c r="EH101" s="59" t="str">
        <f t="shared" si="203"/>
        <v/>
      </c>
      <c r="EI101" s="59" t="str">
        <f t="shared" si="204"/>
        <v/>
      </c>
      <c r="EJ101" s="59" t="str">
        <f t="shared" si="205"/>
        <v/>
      </c>
      <c r="EK101" s="59" t="str">
        <f t="shared" si="206"/>
        <v/>
      </c>
      <c r="EL101" s="59" t="str">
        <f t="shared" si="207"/>
        <v/>
      </c>
      <c r="EM101" s="59" t="str">
        <f t="shared" si="208"/>
        <v/>
      </c>
      <c r="EN101" s="59" t="str">
        <f t="shared" si="209"/>
        <v/>
      </c>
      <c r="EO101" s="59" t="str">
        <f t="shared" si="210"/>
        <v/>
      </c>
      <c r="EP101" s="59" t="str">
        <f t="shared" si="211"/>
        <v/>
      </c>
      <c r="EQ101" s="59" t="str">
        <f t="shared" si="212"/>
        <v/>
      </c>
      <c r="ER101" s="59" t="str">
        <f t="shared" si="213"/>
        <v/>
      </c>
      <c r="ES101" s="59" t="str">
        <f t="shared" si="214"/>
        <v/>
      </c>
      <c r="ET101" s="59" t="str">
        <f t="shared" si="215"/>
        <v/>
      </c>
      <c r="EU101" s="59" t="str">
        <f t="shared" si="216"/>
        <v/>
      </c>
      <c r="EV101" s="59" t="str">
        <f t="shared" si="217"/>
        <v/>
      </c>
      <c r="EW101" s="59" t="str">
        <f t="shared" si="218"/>
        <v/>
      </c>
      <c r="EX101" s="56">
        <f t="shared" si="176"/>
        <v>1126000</v>
      </c>
    </row>
    <row r="102" spans="1:154" x14ac:dyDescent="0.25">
      <c r="A102" s="2">
        <f t="shared" si="219"/>
        <v>101</v>
      </c>
      <c r="B102" s="2" t="s">
        <v>6</v>
      </c>
      <c r="C102" s="2" t="str">
        <f t="shared" si="177"/>
        <v>020708</v>
      </c>
      <c r="D102" s="13">
        <v>2</v>
      </c>
      <c r="E102" s="13">
        <v>7</v>
      </c>
      <c r="F102" s="13">
        <v>8</v>
      </c>
      <c r="G102" s="14" t="s">
        <v>15</v>
      </c>
      <c r="H102" s="130"/>
      <c r="I102" s="42" t="s">
        <v>58</v>
      </c>
      <c r="J102" s="9">
        <v>80</v>
      </c>
      <c r="K102" s="5"/>
      <c r="L102" s="6" t="s">
        <v>306</v>
      </c>
      <c r="M102" s="23" t="s">
        <v>177</v>
      </c>
      <c r="N102" s="7">
        <f t="shared" si="220"/>
        <v>1126000</v>
      </c>
      <c r="O102" s="8">
        <v>140</v>
      </c>
      <c r="P102" s="25">
        <v>41197</v>
      </c>
      <c r="Q102" s="8" t="str">
        <f t="shared" si="178"/>
        <v>2DA-OCT</v>
      </c>
      <c r="R102" s="26">
        <v>0.1</v>
      </c>
      <c r="S102" s="41" t="s">
        <v>34</v>
      </c>
      <c r="T102" s="8" t="s">
        <v>353</v>
      </c>
      <c r="U102" s="8"/>
      <c r="V102" s="7">
        <v>563000</v>
      </c>
      <c r="W102" s="7">
        <f t="shared" si="259"/>
        <v>551740</v>
      </c>
      <c r="X102" s="7">
        <f t="shared" si="179"/>
        <v>11260</v>
      </c>
      <c r="Y102" s="7">
        <v>0</v>
      </c>
      <c r="Z102" s="7">
        <f t="shared" si="180"/>
        <v>551740</v>
      </c>
      <c r="AA102" s="148" t="str">
        <f t="shared" si="181"/>
        <v>99%</v>
      </c>
      <c r="AB102" s="148">
        <f t="shared" si="182"/>
        <v>1.0000000000000009E-2</v>
      </c>
      <c r="AC102" s="25">
        <f ca="1">TODAY()-19</f>
        <v>41103</v>
      </c>
      <c r="AD102" s="25">
        <f t="shared" ref="AD102:AE102" ca="1" si="278">TODAY()-19</f>
        <v>41103</v>
      </c>
      <c r="AE102" s="25">
        <f t="shared" ca="1" si="278"/>
        <v>41103</v>
      </c>
      <c r="AF102" s="8"/>
      <c r="AG102" s="59" t="str">
        <f t="shared" ca="1" si="183"/>
        <v>NA</v>
      </c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59" t="str">
        <f t="shared" si="228"/>
        <v>NA</v>
      </c>
      <c r="AS102" s="59" t="str">
        <f t="shared" si="229"/>
        <v/>
      </c>
      <c r="AT102" s="59"/>
      <c r="AU102" s="59" t="str">
        <f t="shared" si="162"/>
        <v>ND</v>
      </c>
      <c r="AV102" s="66"/>
      <c r="AW102" s="66"/>
      <c r="AX102" s="66"/>
      <c r="AY102" s="66"/>
      <c r="AZ102" s="8"/>
      <c r="BA102" s="8" t="s">
        <v>37</v>
      </c>
      <c r="BB102" s="8"/>
      <c r="BC102" s="8"/>
      <c r="BD102" s="8"/>
      <c r="BE102" s="8"/>
      <c r="BF102" s="8"/>
      <c r="BG102" s="8"/>
      <c r="BH102" s="8"/>
      <c r="BI102" s="8"/>
      <c r="BJ102" s="8"/>
      <c r="BK102" s="59"/>
      <c r="BL102" s="59"/>
      <c r="BM102" s="59"/>
      <c r="BN102" s="164">
        <v>0.01</v>
      </c>
      <c r="BO102" s="165">
        <f t="shared" si="184"/>
        <v>3753.3333333333335</v>
      </c>
      <c r="BP102" s="165">
        <f t="shared" ref="BP102:BQ102" si="279">BO102</f>
        <v>3753.3333333333335</v>
      </c>
      <c r="BQ102" s="165">
        <f t="shared" si="279"/>
        <v>3753.3333333333335</v>
      </c>
      <c r="BR102" s="59"/>
      <c r="BS102" s="59"/>
      <c r="BT102" s="59"/>
      <c r="BU102" s="59"/>
      <c r="BV102" s="59" t="str">
        <f t="shared" si="223"/>
        <v>ND</v>
      </c>
      <c r="BW102" s="59" t="str">
        <f t="shared" si="224"/>
        <v>ND</v>
      </c>
      <c r="BX102" s="59" t="str">
        <f t="shared" si="225"/>
        <v>ND</v>
      </c>
      <c r="BY102" s="59" t="str">
        <f t="shared" si="226"/>
        <v>ND</v>
      </c>
      <c r="BZ102" s="59" t="str">
        <f t="shared" si="164"/>
        <v>NA</v>
      </c>
      <c r="CA102" s="59" t="str">
        <f t="shared" si="165"/>
        <v/>
      </c>
      <c r="CB102" s="59" t="str">
        <f t="shared" si="166"/>
        <v>NA</v>
      </c>
      <c r="CC102" s="59" t="str">
        <f t="shared" si="167"/>
        <v/>
      </c>
      <c r="CD102" s="59" t="str">
        <f t="shared" si="168"/>
        <v>NA</v>
      </c>
      <c r="CE102" s="59" t="str">
        <f t="shared" si="169"/>
        <v/>
      </c>
      <c r="CF102" s="59" t="str">
        <f t="shared" si="170"/>
        <v>NA</v>
      </c>
      <c r="CG102" s="59" t="str">
        <f t="shared" ca="1" si="171"/>
        <v>NA</v>
      </c>
      <c r="CH102" s="59" t="str">
        <f t="shared" ca="1" si="172"/>
        <v>NA</v>
      </c>
      <c r="CI102" s="59" t="str">
        <f t="shared" ca="1" si="173"/>
        <v>DE 16 A 20 DIAS</v>
      </c>
      <c r="CJ102" s="59" t="str">
        <f t="shared" ca="1" si="174"/>
        <v>DE 16 A 20 DIAS</v>
      </c>
      <c r="CK102" s="59" t="str">
        <f t="shared" ca="1" si="175"/>
        <v>DE 16 A 20 DIAS</v>
      </c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>
        <f t="shared" si="186"/>
        <v>0</v>
      </c>
      <c r="DH102" s="8">
        <f t="shared" si="187"/>
        <v>0</v>
      </c>
      <c r="DI102" s="8">
        <f t="shared" si="188"/>
        <v>0</v>
      </c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59" t="str">
        <f t="shared" si="189"/>
        <v>NA</v>
      </c>
      <c r="DU102" s="59" t="str">
        <f t="shared" si="190"/>
        <v>NA</v>
      </c>
      <c r="DV102" s="59" t="str">
        <f t="shared" si="191"/>
        <v>NA</v>
      </c>
      <c r="DW102" s="59" t="str">
        <f t="shared" si="192"/>
        <v>NA</v>
      </c>
      <c r="DX102" s="59" t="str">
        <f t="shared" si="193"/>
        <v>NA</v>
      </c>
      <c r="DY102" s="59" t="str">
        <f t="shared" si="194"/>
        <v>NA</v>
      </c>
      <c r="DZ102" s="59" t="str">
        <f t="shared" si="195"/>
        <v>NA</v>
      </c>
      <c r="EA102" s="59" t="str">
        <f t="shared" si="196"/>
        <v>NA</v>
      </c>
      <c r="EB102" s="59" t="str">
        <f t="shared" si="197"/>
        <v>NA</v>
      </c>
      <c r="EC102" s="59" t="str">
        <f t="shared" si="198"/>
        <v>NA</v>
      </c>
      <c r="ED102" s="59" t="str">
        <f t="shared" si="199"/>
        <v/>
      </c>
      <c r="EE102" s="59" t="str">
        <f t="shared" si="200"/>
        <v/>
      </c>
      <c r="EF102" s="59" t="str">
        <f t="shared" si="201"/>
        <v/>
      </c>
      <c r="EG102" s="59" t="str">
        <f t="shared" si="202"/>
        <v/>
      </c>
      <c r="EH102" s="59" t="str">
        <f t="shared" si="203"/>
        <v/>
      </c>
      <c r="EI102" s="59" t="str">
        <f t="shared" si="204"/>
        <v/>
      </c>
      <c r="EJ102" s="59" t="str">
        <f t="shared" si="205"/>
        <v/>
      </c>
      <c r="EK102" s="59" t="str">
        <f t="shared" si="206"/>
        <v/>
      </c>
      <c r="EL102" s="59" t="str">
        <f t="shared" si="207"/>
        <v/>
      </c>
      <c r="EM102" s="59" t="str">
        <f t="shared" si="208"/>
        <v/>
      </c>
      <c r="EN102" s="59" t="str">
        <f t="shared" si="209"/>
        <v/>
      </c>
      <c r="EO102" s="59" t="str">
        <f t="shared" si="210"/>
        <v/>
      </c>
      <c r="EP102" s="59" t="str">
        <f t="shared" si="211"/>
        <v/>
      </c>
      <c r="EQ102" s="59" t="str">
        <f t="shared" si="212"/>
        <v/>
      </c>
      <c r="ER102" s="59" t="str">
        <f t="shared" si="213"/>
        <v/>
      </c>
      <c r="ES102" s="59" t="str">
        <f t="shared" si="214"/>
        <v/>
      </c>
      <c r="ET102" s="59" t="str">
        <f t="shared" si="215"/>
        <v/>
      </c>
      <c r="EU102" s="59" t="str">
        <f t="shared" si="216"/>
        <v/>
      </c>
      <c r="EV102" s="59" t="str">
        <f t="shared" si="217"/>
        <v/>
      </c>
      <c r="EW102" s="59" t="str">
        <f t="shared" si="218"/>
        <v/>
      </c>
      <c r="EX102" s="56">
        <f t="shared" si="176"/>
        <v>1126000</v>
      </c>
    </row>
    <row r="103" spans="1:154" x14ac:dyDescent="0.25">
      <c r="A103" s="2">
        <f t="shared" si="219"/>
        <v>102</v>
      </c>
      <c r="B103" s="2" t="s">
        <v>6</v>
      </c>
      <c r="C103" s="2" t="str">
        <f t="shared" si="177"/>
        <v>020709</v>
      </c>
      <c r="D103" s="2">
        <v>2</v>
      </c>
      <c r="E103" s="2">
        <v>7</v>
      </c>
      <c r="F103" s="2">
        <v>9</v>
      </c>
      <c r="G103" s="14" t="s">
        <v>15</v>
      </c>
      <c r="H103" s="130"/>
      <c r="I103" s="42" t="s">
        <v>58</v>
      </c>
      <c r="J103" s="9">
        <v>80</v>
      </c>
      <c r="K103" s="9"/>
      <c r="L103" s="10" t="s">
        <v>8</v>
      </c>
      <c r="M103" s="23" t="s">
        <v>177</v>
      </c>
      <c r="N103" s="7">
        <f t="shared" si="220"/>
        <v>1135000</v>
      </c>
      <c r="O103" s="8">
        <v>141</v>
      </c>
      <c r="P103" s="25">
        <v>41197</v>
      </c>
      <c r="Q103" s="8" t="str">
        <f t="shared" si="178"/>
        <v>2DA-OCT</v>
      </c>
      <c r="R103" s="26">
        <v>0.1</v>
      </c>
      <c r="S103" s="41" t="s">
        <v>34</v>
      </c>
      <c r="T103" s="8" t="s">
        <v>353</v>
      </c>
      <c r="U103" s="8"/>
      <c r="V103" s="7">
        <v>567500</v>
      </c>
      <c r="W103" s="7">
        <f t="shared" si="259"/>
        <v>556150</v>
      </c>
      <c r="X103" s="7">
        <f t="shared" si="179"/>
        <v>11350</v>
      </c>
      <c r="Y103" s="7">
        <v>0</v>
      </c>
      <c r="Z103" s="7">
        <f t="shared" si="180"/>
        <v>556150</v>
      </c>
      <c r="AA103" s="148" t="str">
        <f t="shared" si="181"/>
        <v>99%</v>
      </c>
      <c r="AB103" s="148">
        <f t="shared" si="182"/>
        <v>1.0000000000000009E-2</v>
      </c>
      <c r="AC103" s="25">
        <f ca="1">TODAY()-25</f>
        <v>41097</v>
      </c>
      <c r="AD103" s="25">
        <f t="shared" ref="AD103:AE103" ca="1" si="280">TODAY()-25</f>
        <v>41097</v>
      </c>
      <c r="AE103" s="25">
        <f t="shared" ca="1" si="280"/>
        <v>41097</v>
      </c>
      <c r="AF103" s="8"/>
      <c r="AG103" s="59" t="str">
        <f t="shared" ca="1" si="183"/>
        <v>NA</v>
      </c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59" t="str">
        <f t="shared" si="228"/>
        <v>NA</v>
      </c>
      <c r="AS103" s="59" t="str">
        <f t="shared" si="229"/>
        <v/>
      </c>
      <c r="AT103" s="59"/>
      <c r="AU103" s="59" t="str">
        <f t="shared" si="162"/>
        <v>ND</v>
      </c>
      <c r="AV103" s="66"/>
      <c r="AW103" s="66"/>
      <c r="AX103" s="66"/>
      <c r="AY103" s="66"/>
      <c r="AZ103" s="8"/>
      <c r="BA103" s="8" t="s">
        <v>37</v>
      </c>
      <c r="BB103" s="8"/>
      <c r="BC103" s="8"/>
      <c r="BD103" s="8"/>
      <c r="BE103" s="8"/>
      <c r="BF103" s="8"/>
      <c r="BG103" s="8"/>
      <c r="BH103" s="8"/>
      <c r="BI103" s="8"/>
      <c r="BJ103" s="8"/>
      <c r="BK103" s="59"/>
      <c r="BL103" s="59"/>
      <c r="BM103" s="59"/>
      <c r="BN103" s="164">
        <v>0.01</v>
      </c>
      <c r="BO103" s="165">
        <f t="shared" si="184"/>
        <v>3783.3333333333335</v>
      </c>
      <c r="BP103" s="165">
        <f t="shared" ref="BP103:BQ103" si="281">BO103</f>
        <v>3783.3333333333335</v>
      </c>
      <c r="BQ103" s="165">
        <f t="shared" si="281"/>
        <v>3783.3333333333335</v>
      </c>
      <c r="BR103" s="59"/>
      <c r="BS103" s="59"/>
      <c r="BT103" s="59"/>
      <c r="BU103" s="59"/>
      <c r="BV103" s="59" t="str">
        <f t="shared" si="223"/>
        <v>ND</v>
      </c>
      <c r="BW103" s="59" t="str">
        <f t="shared" si="224"/>
        <v>ND</v>
      </c>
      <c r="BX103" s="59" t="str">
        <f t="shared" si="225"/>
        <v>ND</v>
      </c>
      <c r="BY103" s="59" t="str">
        <f t="shared" si="226"/>
        <v>ND</v>
      </c>
      <c r="BZ103" s="59" t="str">
        <f t="shared" si="164"/>
        <v>NA</v>
      </c>
      <c r="CA103" s="59" t="str">
        <f t="shared" si="165"/>
        <v/>
      </c>
      <c r="CB103" s="59" t="str">
        <f t="shared" si="166"/>
        <v>NA</v>
      </c>
      <c r="CC103" s="59" t="str">
        <f t="shared" si="167"/>
        <v/>
      </c>
      <c r="CD103" s="59" t="str">
        <f t="shared" si="168"/>
        <v>NA</v>
      </c>
      <c r="CE103" s="59" t="str">
        <f t="shared" si="169"/>
        <v/>
      </c>
      <c r="CF103" s="59" t="str">
        <f t="shared" si="170"/>
        <v>NA</v>
      </c>
      <c r="CG103" s="59" t="str">
        <f t="shared" ca="1" si="171"/>
        <v>NA</v>
      </c>
      <c r="CH103" s="59" t="str">
        <f t="shared" ca="1" si="172"/>
        <v>NA</v>
      </c>
      <c r="CI103" s="59" t="str">
        <f t="shared" ca="1" si="173"/>
        <v>DE 21 A 25 DIAS</v>
      </c>
      <c r="CJ103" s="59" t="str">
        <f t="shared" ca="1" si="174"/>
        <v>DE 21 A 25 DIAS</v>
      </c>
      <c r="CK103" s="59" t="str">
        <f t="shared" ca="1" si="175"/>
        <v>DE 21 A 25 DIAS</v>
      </c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>
        <f t="shared" si="186"/>
        <v>0</v>
      </c>
      <c r="DH103" s="8">
        <f t="shared" si="187"/>
        <v>0</v>
      </c>
      <c r="DI103" s="8">
        <f t="shared" si="188"/>
        <v>0</v>
      </c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59" t="str">
        <f t="shared" si="189"/>
        <v>NA</v>
      </c>
      <c r="DU103" s="59" t="str">
        <f t="shared" si="190"/>
        <v>NA</v>
      </c>
      <c r="DV103" s="59" t="str">
        <f t="shared" si="191"/>
        <v>NA</v>
      </c>
      <c r="DW103" s="59" t="str">
        <f t="shared" si="192"/>
        <v>NA</v>
      </c>
      <c r="DX103" s="59" t="str">
        <f t="shared" si="193"/>
        <v>NA</v>
      </c>
      <c r="DY103" s="59" t="str">
        <f t="shared" si="194"/>
        <v>NA</v>
      </c>
      <c r="DZ103" s="59" t="str">
        <f t="shared" si="195"/>
        <v>NA</v>
      </c>
      <c r="EA103" s="59" t="str">
        <f t="shared" si="196"/>
        <v>NA</v>
      </c>
      <c r="EB103" s="59" t="str">
        <f t="shared" si="197"/>
        <v>NA</v>
      </c>
      <c r="EC103" s="59" t="str">
        <f t="shared" si="198"/>
        <v>NA</v>
      </c>
      <c r="ED103" s="59" t="str">
        <f t="shared" si="199"/>
        <v/>
      </c>
      <c r="EE103" s="59" t="str">
        <f t="shared" si="200"/>
        <v/>
      </c>
      <c r="EF103" s="59" t="str">
        <f t="shared" si="201"/>
        <v/>
      </c>
      <c r="EG103" s="59" t="str">
        <f t="shared" si="202"/>
        <v/>
      </c>
      <c r="EH103" s="59" t="str">
        <f t="shared" si="203"/>
        <v/>
      </c>
      <c r="EI103" s="59" t="str">
        <f t="shared" si="204"/>
        <v/>
      </c>
      <c r="EJ103" s="59" t="str">
        <f t="shared" si="205"/>
        <v/>
      </c>
      <c r="EK103" s="59" t="str">
        <f t="shared" si="206"/>
        <v/>
      </c>
      <c r="EL103" s="59" t="str">
        <f t="shared" si="207"/>
        <v/>
      </c>
      <c r="EM103" s="59" t="str">
        <f t="shared" si="208"/>
        <v/>
      </c>
      <c r="EN103" s="59" t="str">
        <f t="shared" si="209"/>
        <v/>
      </c>
      <c r="EO103" s="59" t="str">
        <f t="shared" si="210"/>
        <v/>
      </c>
      <c r="EP103" s="59" t="str">
        <f t="shared" si="211"/>
        <v/>
      </c>
      <c r="EQ103" s="59" t="str">
        <f t="shared" si="212"/>
        <v/>
      </c>
      <c r="ER103" s="59" t="str">
        <f t="shared" si="213"/>
        <v/>
      </c>
      <c r="ES103" s="59" t="str">
        <f t="shared" si="214"/>
        <v/>
      </c>
      <c r="ET103" s="59" t="str">
        <f t="shared" si="215"/>
        <v/>
      </c>
      <c r="EU103" s="59" t="str">
        <f t="shared" si="216"/>
        <v/>
      </c>
      <c r="EV103" s="59" t="str">
        <f t="shared" si="217"/>
        <v/>
      </c>
      <c r="EW103" s="59" t="str">
        <f t="shared" si="218"/>
        <v/>
      </c>
      <c r="EX103" s="56">
        <f t="shared" si="176"/>
        <v>1135000</v>
      </c>
    </row>
    <row r="104" spans="1:154" x14ac:dyDescent="0.25">
      <c r="A104" s="2">
        <f t="shared" si="219"/>
        <v>103</v>
      </c>
      <c r="B104" s="2" t="s">
        <v>6</v>
      </c>
      <c r="C104" s="2" t="str">
        <f t="shared" si="177"/>
        <v>020710</v>
      </c>
      <c r="D104" s="2">
        <v>2</v>
      </c>
      <c r="E104" s="2">
        <v>7</v>
      </c>
      <c r="F104" s="2">
        <v>10</v>
      </c>
      <c r="G104" s="14" t="s">
        <v>15</v>
      </c>
      <c r="H104" s="130"/>
      <c r="I104" s="42" t="s">
        <v>58</v>
      </c>
      <c r="J104" s="9">
        <v>80</v>
      </c>
      <c r="K104" s="5"/>
      <c r="L104" s="6" t="s">
        <v>306</v>
      </c>
      <c r="M104" s="23" t="s">
        <v>177</v>
      </c>
      <c r="N104" s="7">
        <f t="shared" si="220"/>
        <v>1126000</v>
      </c>
      <c r="O104" s="8">
        <v>142</v>
      </c>
      <c r="P104" s="25">
        <v>41197</v>
      </c>
      <c r="Q104" s="8" t="str">
        <f t="shared" si="178"/>
        <v>2DA-OCT</v>
      </c>
      <c r="R104" s="26">
        <v>0.1</v>
      </c>
      <c r="S104" s="41" t="s">
        <v>34</v>
      </c>
      <c r="T104" s="8" t="s">
        <v>353</v>
      </c>
      <c r="U104" s="8"/>
      <c r="V104" s="7">
        <v>563000</v>
      </c>
      <c r="W104" s="7">
        <f t="shared" si="259"/>
        <v>551740</v>
      </c>
      <c r="X104" s="7">
        <f t="shared" si="179"/>
        <v>11260</v>
      </c>
      <c r="Y104" s="7">
        <v>0</v>
      </c>
      <c r="Z104" s="7">
        <f t="shared" si="180"/>
        <v>551740</v>
      </c>
      <c r="AA104" s="148" t="str">
        <f t="shared" si="181"/>
        <v>99%</v>
      </c>
      <c r="AB104" s="148">
        <f t="shared" si="182"/>
        <v>1.0000000000000009E-2</v>
      </c>
      <c r="AC104" s="25">
        <f ca="1">TODAY()-29</f>
        <v>41093</v>
      </c>
      <c r="AD104" s="25">
        <f t="shared" ref="AD104:AE104" ca="1" si="282">TODAY()-29</f>
        <v>41093</v>
      </c>
      <c r="AE104" s="25">
        <f t="shared" ca="1" si="282"/>
        <v>41093</v>
      </c>
      <c r="AF104" s="8"/>
      <c r="AG104" s="59" t="str">
        <f t="shared" ca="1" si="183"/>
        <v>NA</v>
      </c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59" t="str">
        <f t="shared" si="228"/>
        <v>NA</v>
      </c>
      <c r="AS104" s="59" t="str">
        <f t="shared" si="229"/>
        <v/>
      </c>
      <c r="AT104" s="59"/>
      <c r="AU104" s="59" t="str">
        <f t="shared" si="162"/>
        <v>ND</v>
      </c>
      <c r="AV104" s="66"/>
      <c r="AW104" s="66"/>
      <c r="AX104" s="66"/>
      <c r="AY104" s="66"/>
      <c r="AZ104" s="8"/>
      <c r="BA104" s="8" t="s">
        <v>37</v>
      </c>
      <c r="BB104" s="8"/>
      <c r="BC104" s="8"/>
      <c r="BD104" s="8"/>
      <c r="BE104" s="8"/>
      <c r="BF104" s="8"/>
      <c r="BG104" s="8"/>
      <c r="BH104" s="8"/>
      <c r="BI104" s="8"/>
      <c r="BJ104" s="8"/>
      <c r="BK104" s="59"/>
      <c r="BL104" s="59"/>
      <c r="BM104" s="59"/>
      <c r="BN104" s="164">
        <v>0.01</v>
      </c>
      <c r="BO104" s="165">
        <f t="shared" si="184"/>
        <v>3753.3333333333335</v>
      </c>
      <c r="BP104" s="165">
        <f t="shared" ref="BP104:BQ104" si="283">BO104</f>
        <v>3753.3333333333335</v>
      </c>
      <c r="BQ104" s="165">
        <f t="shared" si="283"/>
        <v>3753.3333333333335</v>
      </c>
      <c r="BR104" s="59"/>
      <c r="BS104" s="59"/>
      <c r="BT104" s="59"/>
      <c r="BU104" s="59"/>
      <c r="BV104" s="59" t="str">
        <f t="shared" si="223"/>
        <v>ND</v>
      </c>
      <c r="BW104" s="59" t="str">
        <f t="shared" si="224"/>
        <v>ND</v>
      </c>
      <c r="BX104" s="59" t="str">
        <f t="shared" si="225"/>
        <v>ND</v>
      </c>
      <c r="BY104" s="59" t="str">
        <f t="shared" si="226"/>
        <v>ND</v>
      </c>
      <c r="BZ104" s="59" t="str">
        <f t="shared" si="164"/>
        <v>NA</v>
      </c>
      <c r="CA104" s="59" t="str">
        <f t="shared" si="165"/>
        <v/>
      </c>
      <c r="CB104" s="59" t="str">
        <f t="shared" si="166"/>
        <v>NA</v>
      </c>
      <c r="CC104" s="59" t="str">
        <f t="shared" si="167"/>
        <v/>
      </c>
      <c r="CD104" s="59" t="str">
        <f t="shared" si="168"/>
        <v>NA</v>
      </c>
      <c r="CE104" s="59" t="str">
        <f t="shared" si="169"/>
        <v/>
      </c>
      <c r="CF104" s="59" t="str">
        <f t="shared" si="170"/>
        <v>NA</v>
      </c>
      <c r="CG104" s="59" t="str">
        <f t="shared" ca="1" si="171"/>
        <v>NA</v>
      </c>
      <c r="CH104" s="59" t="str">
        <f t="shared" ca="1" si="172"/>
        <v>NA</v>
      </c>
      <c r="CI104" s="59" t="str">
        <f t="shared" ca="1" si="173"/>
        <v>DE 26 A 29 DIAS</v>
      </c>
      <c r="CJ104" s="59" t="str">
        <f t="shared" ca="1" si="174"/>
        <v>DE 26 A 29 DIAS</v>
      </c>
      <c r="CK104" s="59" t="str">
        <f t="shared" ca="1" si="175"/>
        <v>DE 26 A 29 DIAS</v>
      </c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>
        <f t="shared" si="186"/>
        <v>0</v>
      </c>
      <c r="DH104" s="8">
        <f t="shared" si="187"/>
        <v>0</v>
      </c>
      <c r="DI104" s="8">
        <f t="shared" si="188"/>
        <v>0</v>
      </c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59" t="str">
        <f t="shared" si="189"/>
        <v>NA</v>
      </c>
      <c r="DU104" s="59" t="str">
        <f t="shared" si="190"/>
        <v>NA</v>
      </c>
      <c r="DV104" s="59" t="str">
        <f t="shared" si="191"/>
        <v>NA</v>
      </c>
      <c r="DW104" s="59" t="str">
        <f t="shared" si="192"/>
        <v>NA</v>
      </c>
      <c r="DX104" s="59" t="str">
        <f t="shared" si="193"/>
        <v>NA</v>
      </c>
      <c r="DY104" s="59" t="str">
        <f t="shared" si="194"/>
        <v>NA</v>
      </c>
      <c r="DZ104" s="59" t="str">
        <f t="shared" si="195"/>
        <v>NA</v>
      </c>
      <c r="EA104" s="59" t="str">
        <f t="shared" si="196"/>
        <v>NA</v>
      </c>
      <c r="EB104" s="59" t="str">
        <f t="shared" si="197"/>
        <v>NA</v>
      </c>
      <c r="EC104" s="59" t="str">
        <f t="shared" si="198"/>
        <v>NA</v>
      </c>
      <c r="ED104" s="59" t="str">
        <f t="shared" si="199"/>
        <v/>
      </c>
      <c r="EE104" s="59" t="str">
        <f t="shared" si="200"/>
        <v/>
      </c>
      <c r="EF104" s="59" t="str">
        <f t="shared" si="201"/>
        <v/>
      </c>
      <c r="EG104" s="59" t="str">
        <f t="shared" si="202"/>
        <v/>
      </c>
      <c r="EH104" s="59" t="str">
        <f t="shared" si="203"/>
        <v/>
      </c>
      <c r="EI104" s="59" t="str">
        <f t="shared" si="204"/>
        <v/>
      </c>
      <c r="EJ104" s="59" t="str">
        <f t="shared" si="205"/>
        <v/>
      </c>
      <c r="EK104" s="59" t="str">
        <f t="shared" si="206"/>
        <v/>
      </c>
      <c r="EL104" s="59" t="str">
        <f t="shared" si="207"/>
        <v/>
      </c>
      <c r="EM104" s="59" t="str">
        <f t="shared" si="208"/>
        <v/>
      </c>
      <c r="EN104" s="59" t="str">
        <f t="shared" si="209"/>
        <v/>
      </c>
      <c r="EO104" s="59" t="str">
        <f t="shared" si="210"/>
        <v/>
      </c>
      <c r="EP104" s="59" t="str">
        <f t="shared" si="211"/>
        <v/>
      </c>
      <c r="EQ104" s="59" t="str">
        <f t="shared" si="212"/>
        <v/>
      </c>
      <c r="ER104" s="59" t="str">
        <f t="shared" si="213"/>
        <v/>
      </c>
      <c r="ES104" s="59" t="str">
        <f t="shared" si="214"/>
        <v/>
      </c>
      <c r="ET104" s="59" t="str">
        <f t="shared" si="215"/>
        <v/>
      </c>
      <c r="EU104" s="59" t="str">
        <f t="shared" si="216"/>
        <v/>
      </c>
      <c r="EV104" s="59" t="str">
        <f t="shared" si="217"/>
        <v/>
      </c>
      <c r="EW104" s="59" t="str">
        <f t="shared" si="218"/>
        <v/>
      </c>
      <c r="EX104" s="56">
        <f t="shared" si="176"/>
        <v>1126000</v>
      </c>
    </row>
    <row r="105" spans="1:154" x14ac:dyDescent="0.25">
      <c r="A105" s="2">
        <f t="shared" si="219"/>
        <v>104</v>
      </c>
      <c r="B105" s="2" t="s">
        <v>6</v>
      </c>
      <c r="C105" s="2" t="str">
        <f t="shared" si="177"/>
        <v>020711</v>
      </c>
      <c r="D105" s="2">
        <v>2</v>
      </c>
      <c r="E105" s="2">
        <v>7</v>
      </c>
      <c r="F105" s="2">
        <v>11</v>
      </c>
      <c r="G105" s="14" t="s">
        <v>15</v>
      </c>
      <c r="H105" s="130"/>
      <c r="I105" s="42" t="s">
        <v>58</v>
      </c>
      <c r="J105" s="9">
        <v>80</v>
      </c>
      <c r="K105" s="5"/>
      <c r="L105" s="6" t="s">
        <v>306</v>
      </c>
      <c r="M105" s="23" t="s">
        <v>177</v>
      </c>
      <c r="N105" s="7">
        <f t="shared" si="220"/>
        <v>1126000</v>
      </c>
      <c r="O105" s="8">
        <v>143</v>
      </c>
      <c r="P105" s="25">
        <v>41197</v>
      </c>
      <c r="Q105" s="8" t="str">
        <f t="shared" si="178"/>
        <v>2DA-OCT</v>
      </c>
      <c r="R105" s="26">
        <v>0.1</v>
      </c>
      <c r="S105" s="41" t="s">
        <v>34</v>
      </c>
      <c r="T105" s="8" t="s">
        <v>353</v>
      </c>
      <c r="U105" s="8"/>
      <c r="V105" s="7">
        <v>563000</v>
      </c>
      <c r="W105" s="7">
        <f t="shared" si="259"/>
        <v>551740</v>
      </c>
      <c r="X105" s="7">
        <f t="shared" si="179"/>
        <v>11260</v>
      </c>
      <c r="Y105" s="7">
        <v>0</v>
      </c>
      <c r="Z105" s="7">
        <f t="shared" si="180"/>
        <v>551740</v>
      </c>
      <c r="AA105" s="148" t="str">
        <f t="shared" si="181"/>
        <v>99%</v>
      </c>
      <c r="AB105" s="148">
        <f t="shared" si="182"/>
        <v>1.0000000000000009E-2</v>
      </c>
      <c r="AC105" s="25">
        <f ca="1">TODAY()-30</f>
        <v>41092</v>
      </c>
      <c r="AD105" s="25">
        <f t="shared" ref="AD105:AE105" ca="1" si="284">TODAY()-30</f>
        <v>41092</v>
      </c>
      <c r="AE105" s="25">
        <f t="shared" ca="1" si="284"/>
        <v>41092</v>
      </c>
      <c r="AF105" s="8"/>
      <c r="AG105" s="59" t="str">
        <f t="shared" ca="1" si="183"/>
        <v>NA</v>
      </c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59" t="str">
        <f t="shared" si="228"/>
        <v>NA</v>
      </c>
      <c r="AS105" s="59" t="str">
        <f t="shared" si="229"/>
        <v/>
      </c>
      <c r="AT105" s="59"/>
      <c r="AU105" s="59" t="str">
        <f t="shared" si="162"/>
        <v>ND</v>
      </c>
      <c r="AV105" s="66"/>
      <c r="AW105" s="66"/>
      <c r="AX105" s="66"/>
      <c r="AY105" s="66"/>
      <c r="AZ105" s="8"/>
      <c r="BA105" s="8" t="s">
        <v>37</v>
      </c>
      <c r="BB105" s="8"/>
      <c r="BC105" s="8"/>
      <c r="BD105" s="8"/>
      <c r="BE105" s="8"/>
      <c r="BF105" s="8"/>
      <c r="BG105" s="8"/>
      <c r="BH105" s="8"/>
      <c r="BI105" s="8"/>
      <c r="BJ105" s="8"/>
      <c r="BK105" s="59"/>
      <c r="BL105" s="59"/>
      <c r="BM105" s="59"/>
      <c r="BN105" s="164">
        <v>0.01</v>
      </c>
      <c r="BO105" s="165">
        <f t="shared" si="184"/>
        <v>3753.3333333333335</v>
      </c>
      <c r="BP105" s="165">
        <f t="shared" ref="BP105:BQ105" si="285">BO105</f>
        <v>3753.3333333333335</v>
      </c>
      <c r="BQ105" s="165">
        <f t="shared" si="285"/>
        <v>3753.3333333333335</v>
      </c>
      <c r="BR105" s="59"/>
      <c r="BS105" s="59"/>
      <c r="BT105" s="59"/>
      <c r="BU105" s="59"/>
      <c r="BV105" s="59" t="str">
        <f t="shared" si="223"/>
        <v>ND</v>
      </c>
      <c r="BW105" s="59" t="str">
        <f t="shared" si="224"/>
        <v>ND</v>
      </c>
      <c r="BX105" s="59" t="str">
        <f t="shared" si="225"/>
        <v>ND</v>
      </c>
      <c r="BY105" s="59" t="str">
        <f t="shared" si="226"/>
        <v>ND</v>
      </c>
      <c r="BZ105" s="59" t="str">
        <f t="shared" si="164"/>
        <v>NA</v>
      </c>
      <c r="CA105" s="59" t="str">
        <f t="shared" si="165"/>
        <v/>
      </c>
      <c r="CB105" s="59" t="str">
        <f t="shared" si="166"/>
        <v>NA</v>
      </c>
      <c r="CC105" s="59" t="str">
        <f t="shared" si="167"/>
        <v/>
      </c>
      <c r="CD105" s="59" t="str">
        <f t="shared" si="168"/>
        <v>NA</v>
      </c>
      <c r="CE105" s="59" t="str">
        <f t="shared" si="169"/>
        <v/>
      </c>
      <c r="CF105" s="59" t="str">
        <f t="shared" si="170"/>
        <v>NA</v>
      </c>
      <c r="CG105" s="59" t="str">
        <f t="shared" ca="1" si="171"/>
        <v>NA</v>
      </c>
      <c r="CH105" s="59" t="str">
        <f t="shared" ca="1" si="172"/>
        <v>NA</v>
      </c>
      <c r="CI105" s="59" t="str">
        <f t="shared" ca="1" si="173"/>
        <v>30 DIAS</v>
      </c>
      <c r="CJ105" s="59" t="str">
        <f t="shared" ca="1" si="174"/>
        <v>30 DIAS</v>
      </c>
      <c r="CK105" s="59" t="str">
        <f t="shared" ca="1" si="175"/>
        <v>30 DIAS</v>
      </c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>
        <f t="shared" si="186"/>
        <v>0</v>
      </c>
      <c r="DH105" s="8">
        <f t="shared" si="187"/>
        <v>0</v>
      </c>
      <c r="DI105" s="8">
        <f t="shared" si="188"/>
        <v>0</v>
      </c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59" t="str">
        <f t="shared" si="189"/>
        <v>NA</v>
      </c>
      <c r="DU105" s="59" t="str">
        <f t="shared" si="190"/>
        <v>NA</v>
      </c>
      <c r="DV105" s="59" t="str">
        <f t="shared" si="191"/>
        <v>NA</v>
      </c>
      <c r="DW105" s="59" t="str">
        <f t="shared" si="192"/>
        <v>NA</v>
      </c>
      <c r="DX105" s="59" t="str">
        <f t="shared" si="193"/>
        <v>NA</v>
      </c>
      <c r="DY105" s="59" t="str">
        <f t="shared" si="194"/>
        <v>NA</v>
      </c>
      <c r="DZ105" s="59" t="str">
        <f t="shared" si="195"/>
        <v>NA</v>
      </c>
      <c r="EA105" s="59" t="str">
        <f t="shared" si="196"/>
        <v>NA</v>
      </c>
      <c r="EB105" s="59" t="str">
        <f t="shared" si="197"/>
        <v>NA</v>
      </c>
      <c r="EC105" s="59" t="str">
        <f t="shared" si="198"/>
        <v>NA</v>
      </c>
      <c r="ED105" s="59" t="str">
        <f t="shared" si="199"/>
        <v/>
      </c>
      <c r="EE105" s="59" t="str">
        <f t="shared" si="200"/>
        <v/>
      </c>
      <c r="EF105" s="59" t="str">
        <f t="shared" si="201"/>
        <v/>
      </c>
      <c r="EG105" s="59" t="str">
        <f t="shared" si="202"/>
        <v/>
      </c>
      <c r="EH105" s="59" t="str">
        <f t="shared" si="203"/>
        <v/>
      </c>
      <c r="EI105" s="59" t="str">
        <f t="shared" si="204"/>
        <v/>
      </c>
      <c r="EJ105" s="59" t="str">
        <f t="shared" si="205"/>
        <v/>
      </c>
      <c r="EK105" s="59" t="str">
        <f t="shared" si="206"/>
        <v/>
      </c>
      <c r="EL105" s="59" t="str">
        <f t="shared" si="207"/>
        <v/>
      </c>
      <c r="EM105" s="59" t="str">
        <f t="shared" si="208"/>
        <v/>
      </c>
      <c r="EN105" s="59" t="str">
        <f t="shared" si="209"/>
        <v/>
      </c>
      <c r="EO105" s="59" t="str">
        <f t="shared" si="210"/>
        <v/>
      </c>
      <c r="EP105" s="59" t="str">
        <f t="shared" si="211"/>
        <v/>
      </c>
      <c r="EQ105" s="59" t="str">
        <f t="shared" si="212"/>
        <v/>
      </c>
      <c r="ER105" s="59" t="str">
        <f t="shared" si="213"/>
        <v/>
      </c>
      <c r="ES105" s="59" t="str">
        <f t="shared" si="214"/>
        <v/>
      </c>
      <c r="ET105" s="59" t="str">
        <f t="shared" si="215"/>
        <v/>
      </c>
      <c r="EU105" s="59" t="str">
        <f t="shared" si="216"/>
        <v/>
      </c>
      <c r="EV105" s="59" t="str">
        <f t="shared" si="217"/>
        <v/>
      </c>
      <c r="EW105" s="59" t="str">
        <f t="shared" si="218"/>
        <v/>
      </c>
      <c r="EX105" s="56">
        <f t="shared" si="176"/>
        <v>1126000</v>
      </c>
    </row>
    <row r="106" spans="1:154" x14ac:dyDescent="0.25">
      <c r="A106" s="2">
        <f t="shared" si="219"/>
        <v>105</v>
      </c>
      <c r="B106" s="2" t="s">
        <v>6</v>
      </c>
      <c r="C106" s="2" t="str">
        <f t="shared" si="177"/>
        <v>020712</v>
      </c>
      <c r="D106" s="2">
        <v>2</v>
      </c>
      <c r="E106" s="2">
        <v>7</v>
      </c>
      <c r="F106" s="2">
        <v>12</v>
      </c>
      <c r="G106" s="14" t="s">
        <v>15</v>
      </c>
      <c r="H106" s="130"/>
      <c r="I106" s="42" t="s">
        <v>58</v>
      </c>
      <c r="J106" s="9">
        <v>80</v>
      </c>
      <c r="K106" s="9"/>
      <c r="L106" s="10" t="s">
        <v>8</v>
      </c>
      <c r="M106" s="23" t="s">
        <v>177</v>
      </c>
      <c r="N106" s="7">
        <f t="shared" si="220"/>
        <v>1135000</v>
      </c>
      <c r="O106" s="8">
        <v>144</v>
      </c>
      <c r="P106" s="25">
        <v>41197</v>
      </c>
      <c r="Q106" s="8" t="str">
        <f t="shared" si="178"/>
        <v>2DA-OCT</v>
      </c>
      <c r="R106" s="26">
        <v>0.1</v>
      </c>
      <c r="S106" s="41" t="s">
        <v>34</v>
      </c>
      <c r="T106" s="8" t="s">
        <v>353</v>
      </c>
      <c r="U106" s="8"/>
      <c r="V106" s="7">
        <v>567500</v>
      </c>
      <c r="W106" s="7">
        <f>+V106*0.3</f>
        <v>170250</v>
      </c>
      <c r="X106" s="7">
        <f t="shared" si="179"/>
        <v>397250</v>
      </c>
      <c r="Y106" s="7">
        <v>0</v>
      </c>
      <c r="Z106" s="7">
        <f t="shared" si="180"/>
        <v>170250</v>
      </c>
      <c r="AA106" s="148" t="str">
        <f t="shared" si="181"/>
        <v>30%</v>
      </c>
      <c r="AB106" s="148">
        <f t="shared" si="182"/>
        <v>0.7</v>
      </c>
      <c r="AC106" s="25">
        <f ca="1">TODAY()-34</f>
        <v>41088</v>
      </c>
      <c r="AD106" s="25">
        <f t="shared" ref="AD106:AE106" ca="1" si="286">TODAY()-34</f>
        <v>41088</v>
      </c>
      <c r="AE106" s="25">
        <f t="shared" ca="1" si="286"/>
        <v>41088</v>
      </c>
      <c r="AF106" s="8"/>
      <c r="AG106" s="59" t="str">
        <f t="shared" ca="1" si="183"/>
        <v>NA</v>
      </c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59" t="str">
        <f t="shared" si="228"/>
        <v>NA</v>
      </c>
      <c r="AS106" s="59" t="str">
        <f t="shared" si="229"/>
        <v/>
      </c>
      <c r="AT106" s="59"/>
      <c r="AU106" s="59" t="str">
        <f t="shared" si="162"/>
        <v>ND</v>
      </c>
      <c r="AV106" s="66"/>
      <c r="AW106" s="66"/>
      <c r="AX106" s="66"/>
      <c r="AY106" s="66"/>
      <c r="AZ106" s="8"/>
      <c r="BA106" s="8" t="s">
        <v>37</v>
      </c>
      <c r="BB106" s="8"/>
      <c r="BC106" s="8"/>
      <c r="BD106" s="8"/>
      <c r="BE106" s="8"/>
      <c r="BF106" s="8"/>
      <c r="BG106" s="8"/>
      <c r="BH106" s="8"/>
      <c r="BI106" s="8"/>
      <c r="BJ106" s="8"/>
      <c r="BK106" s="59"/>
      <c r="BL106" s="59"/>
      <c r="BM106" s="59"/>
      <c r="BN106" s="164">
        <v>0.01</v>
      </c>
      <c r="BO106" s="165">
        <f t="shared" si="184"/>
        <v>3783.3333333333335</v>
      </c>
      <c r="BP106" s="165">
        <f t="shared" ref="BP106:BQ106" si="287">BO106</f>
        <v>3783.3333333333335</v>
      </c>
      <c r="BQ106" s="165">
        <f t="shared" si="287"/>
        <v>3783.3333333333335</v>
      </c>
      <c r="BR106" s="59"/>
      <c r="BS106" s="59"/>
      <c r="BT106" s="59"/>
      <c r="BU106" s="59"/>
      <c r="BV106" s="59" t="str">
        <f t="shared" si="223"/>
        <v>ND</v>
      </c>
      <c r="BW106" s="59" t="str">
        <f t="shared" si="224"/>
        <v>ND</v>
      </c>
      <c r="BX106" s="59" t="str">
        <f t="shared" si="225"/>
        <v>ND</v>
      </c>
      <c r="BY106" s="59" t="str">
        <f t="shared" si="226"/>
        <v>ND</v>
      </c>
      <c r="BZ106" s="59" t="str">
        <f t="shared" si="164"/>
        <v>NA</v>
      </c>
      <c r="CA106" s="59" t="str">
        <f t="shared" si="165"/>
        <v/>
      </c>
      <c r="CB106" s="59" t="str">
        <f t="shared" si="166"/>
        <v>NA</v>
      </c>
      <c r="CC106" s="59" t="str">
        <f t="shared" si="167"/>
        <v/>
      </c>
      <c r="CD106" s="59" t="str">
        <f t="shared" si="168"/>
        <v>NA</v>
      </c>
      <c r="CE106" s="59" t="str">
        <f t="shared" si="169"/>
        <v/>
      </c>
      <c r="CF106" s="59" t="str">
        <f t="shared" si="170"/>
        <v>NA</v>
      </c>
      <c r="CG106" s="59" t="str">
        <f t="shared" ca="1" si="171"/>
        <v>NA</v>
      </c>
      <c r="CH106" s="59" t="str">
        <f t="shared" ca="1" si="172"/>
        <v>NA</v>
      </c>
      <c r="CI106" s="59" t="str">
        <f t="shared" ca="1" si="173"/>
        <v>DE 31 A 35 DIAS</v>
      </c>
      <c r="CJ106" s="59" t="str">
        <f t="shared" ca="1" si="174"/>
        <v>DE 31 A 35 DIAS</v>
      </c>
      <c r="CK106" s="59" t="str">
        <f t="shared" ca="1" si="175"/>
        <v>DE 31 A 35 DIAS</v>
      </c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>
        <f t="shared" si="186"/>
        <v>0</v>
      </c>
      <c r="DH106" s="8">
        <f t="shared" si="187"/>
        <v>0</v>
      </c>
      <c r="DI106" s="8">
        <f t="shared" si="188"/>
        <v>0</v>
      </c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59" t="str">
        <f t="shared" si="189"/>
        <v>NA</v>
      </c>
      <c r="DU106" s="59" t="str">
        <f t="shared" si="190"/>
        <v>NA</v>
      </c>
      <c r="DV106" s="59" t="str">
        <f t="shared" si="191"/>
        <v>NA</v>
      </c>
      <c r="DW106" s="59" t="str">
        <f t="shared" si="192"/>
        <v>NA</v>
      </c>
      <c r="DX106" s="59" t="str">
        <f t="shared" si="193"/>
        <v>NA</v>
      </c>
      <c r="DY106" s="59" t="str">
        <f t="shared" si="194"/>
        <v>NA</v>
      </c>
      <c r="DZ106" s="59" t="str">
        <f t="shared" si="195"/>
        <v>NA</v>
      </c>
      <c r="EA106" s="59" t="str">
        <f t="shared" si="196"/>
        <v>NA</v>
      </c>
      <c r="EB106" s="59" t="str">
        <f t="shared" si="197"/>
        <v>NA</v>
      </c>
      <c r="EC106" s="59" t="str">
        <f t="shared" si="198"/>
        <v>NA</v>
      </c>
      <c r="ED106" s="59" t="str">
        <f t="shared" si="199"/>
        <v/>
      </c>
      <c r="EE106" s="59" t="str">
        <f t="shared" si="200"/>
        <v/>
      </c>
      <c r="EF106" s="59" t="str">
        <f t="shared" si="201"/>
        <v/>
      </c>
      <c r="EG106" s="59" t="str">
        <f t="shared" si="202"/>
        <v/>
      </c>
      <c r="EH106" s="59" t="str">
        <f t="shared" si="203"/>
        <v/>
      </c>
      <c r="EI106" s="59" t="str">
        <f t="shared" si="204"/>
        <v/>
      </c>
      <c r="EJ106" s="59" t="str">
        <f t="shared" si="205"/>
        <v/>
      </c>
      <c r="EK106" s="59" t="str">
        <f t="shared" si="206"/>
        <v/>
      </c>
      <c r="EL106" s="59" t="str">
        <f t="shared" si="207"/>
        <v/>
      </c>
      <c r="EM106" s="59" t="str">
        <f t="shared" si="208"/>
        <v/>
      </c>
      <c r="EN106" s="59" t="str">
        <f t="shared" si="209"/>
        <v/>
      </c>
      <c r="EO106" s="59" t="str">
        <f t="shared" si="210"/>
        <v/>
      </c>
      <c r="EP106" s="59" t="str">
        <f t="shared" si="211"/>
        <v/>
      </c>
      <c r="EQ106" s="59" t="str">
        <f t="shared" si="212"/>
        <v/>
      </c>
      <c r="ER106" s="59" t="str">
        <f t="shared" si="213"/>
        <v/>
      </c>
      <c r="ES106" s="59" t="str">
        <f t="shared" si="214"/>
        <v/>
      </c>
      <c r="ET106" s="59" t="str">
        <f t="shared" si="215"/>
        <v/>
      </c>
      <c r="EU106" s="59" t="str">
        <f t="shared" si="216"/>
        <v/>
      </c>
      <c r="EV106" s="59" t="str">
        <f t="shared" si="217"/>
        <v/>
      </c>
      <c r="EW106" s="59" t="str">
        <f t="shared" si="218"/>
        <v/>
      </c>
      <c r="EX106" s="56">
        <f t="shared" si="176"/>
        <v>1135000</v>
      </c>
    </row>
    <row r="107" spans="1:154" x14ac:dyDescent="0.25">
      <c r="A107" s="2">
        <f t="shared" si="219"/>
        <v>106</v>
      </c>
      <c r="B107" s="2" t="s">
        <v>6</v>
      </c>
      <c r="C107" s="2" t="str">
        <f t="shared" si="177"/>
        <v>020713</v>
      </c>
      <c r="D107" s="2">
        <v>2</v>
      </c>
      <c r="E107" s="2">
        <v>7</v>
      </c>
      <c r="F107" s="2">
        <v>13</v>
      </c>
      <c r="G107" s="14" t="s">
        <v>15</v>
      </c>
      <c r="H107" s="130"/>
      <c r="I107" s="42" t="s">
        <v>58</v>
      </c>
      <c r="J107" s="9">
        <v>114.78100000000001</v>
      </c>
      <c r="K107" s="9"/>
      <c r="L107" s="10" t="s">
        <v>8</v>
      </c>
      <c r="M107" s="23" t="s">
        <v>177</v>
      </c>
      <c r="N107" s="7">
        <f t="shared" si="220"/>
        <v>1267167.8</v>
      </c>
      <c r="O107" s="8">
        <v>145</v>
      </c>
      <c r="P107" s="25">
        <v>41197</v>
      </c>
      <c r="Q107" s="8" t="str">
        <f t="shared" si="178"/>
        <v>2DA-OCT</v>
      </c>
      <c r="R107" s="26">
        <v>0.1</v>
      </c>
      <c r="S107" s="41" t="s">
        <v>34</v>
      </c>
      <c r="T107" s="8" t="s">
        <v>353</v>
      </c>
      <c r="U107" s="8"/>
      <c r="V107" s="7">
        <v>633583.9</v>
      </c>
      <c r="W107" s="7">
        <f>+V107*0.85</f>
        <v>538546.31500000006</v>
      </c>
      <c r="X107" s="7">
        <f t="shared" si="179"/>
        <v>95037.584999999963</v>
      </c>
      <c r="Y107" s="7">
        <v>0</v>
      </c>
      <c r="Z107" s="7">
        <f t="shared" si="180"/>
        <v>538546.31500000006</v>
      </c>
      <c r="AA107" s="148" t="str">
        <f t="shared" si="181"/>
        <v>85%</v>
      </c>
      <c r="AB107" s="148">
        <f t="shared" si="182"/>
        <v>0.15000000000000002</v>
      </c>
      <c r="AC107" s="25">
        <f ca="1">TODAY()-39</f>
        <v>41083</v>
      </c>
      <c r="AD107" s="25">
        <f t="shared" ref="AD107:AE107" ca="1" si="288">TODAY()-39</f>
        <v>41083</v>
      </c>
      <c r="AE107" s="25">
        <f t="shared" ca="1" si="288"/>
        <v>41083</v>
      </c>
      <c r="AF107" s="8"/>
      <c r="AG107" s="59" t="str">
        <f t="shared" ca="1" si="183"/>
        <v>NA</v>
      </c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59" t="str">
        <f t="shared" si="228"/>
        <v>NA</v>
      </c>
      <c r="AS107" s="59" t="str">
        <f t="shared" si="229"/>
        <v/>
      </c>
      <c r="AT107" s="59"/>
      <c r="AU107" s="59" t="str">
        <f t="shared" si="162"/>
        <v>ND</v>
      </c>
      <c r="AV107" s="66"/>
      <c r="AW107" s="66"/>
      <c r="AX107" s="66"/>
      <c r="AY107" s="66"/>
      <c r="AZ107" s="8"/>
      <c r="BA107" s="8" t="s">
        <v>37</v>
      </c>
      <c r="BB107" s="8"/>
      <c r="BC107" s="8"/>
      <c r="BD107" s="8"/>
      <c r="BE107" s="8"/>
      <c r="BF107" s="8"/>
      <c r="BG107" s="8"/>
      <c r="BH107" s="8"/>
      <c r="BI107" s="8"/>
      <c r="BJ107" s="8"/>
      <c r="BK107" s="59"/>
      <c r="BL107" s="59"/>
      <c r="BM107" s="59"/>
      <c r="BN107" s="164">
        <v>0.01</v>
      </c>
      <c r="BO107" s="165">
        <f t="shared" si="184"/>
        <v>4223.8926666666666</v>
      </c>
      <c r="BP107" s="165">
        <f t="shared" ref="BP107:BQ107" si="289">BO107</f>
        <v>4223.8926666666666</v>
      </c>
      <c r="BQ107" s="165">
        <f t="shared" si="289"/>
        <v>4223.8926666666666</v>
      </c>
      <c r="BR107" s="59"/>
      <c r="BS107" s="59"/>
      <c r="BT107" s="59"/>
      <c r="BU107" s="59"/>
      <c r="BV107" s="59" t="str">
        <f t="shared" si="223"/>
        <v>ND</v>
      </c>
      <c r="BW107" s="59" t="str">
        <f t="shared" si="224"/>
        <v>ND</v>
      </c>
      <c r="BX107" s="59" t="str">
        <f t="shared" si="225"/>
        <v>ND</v>
      </c>
      <c r="BY107" s="59" t="str">
        <f t="shared" si="226"/>
        <v>ND</v>
      </c>
      <c r="BZ107" s="59" t="str">
        <f t="shared" si="164"/>
        <v>NA</v>
      </c>
      <c r="CA107" s="59" t="str">
        <f t="shared" si="165"/>
        <v/>
      </c>
      <c r="CB107" s="59" t="str">
        <f t="shared" si="166"/>
        <v>NA</v>
      </c>
      <c r="CC107" s="59" t="str">
        <f t="shared" si="167"/>
        <v/>
      </c>
      <c r="CD107" s="59" t="str">
        <f t="shared" si="168"/>
        <v>NA</v>
      </c>
      <c r="CE107" s="59" t="str">
        <f t="shared" si="169"/>
        <v/>
      </c>
      <c r="CF107" s="59" t="str">
        <f t="shared" si="170"/>
        <v>NA</v>
      </c>
      <c r="CG107" s="59" t="str">
        <f t="shared" ca="1" si="171"/>
        <v>NA</v>
      </c>
      <c r="CH107" s="59" t="str">
        <f t="shared" ca="1" si="172"/>
        <v>NA</v>
      </c>
      <c r="CI107" s="59" t="str">
        <f t="shared" ca="1" si="173"/>
        <v>DE 36 A 45 DIAS</v>
      </c>
      <c r="CJ107" s="59" t="str">
        <f t="shared" ca="1" si="174"/>
        <v>DE 36 A 45 DIAS</v>
      </c>
      <c r="CK107" s="59" t="str">
        <f t="shared" ca="1" si="175"/>
        <v>DE 36 A 45 DIAS</v>
      </c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>
        <f t="shared" si="186"/>
        <v>0</v>
      </c>
      <c r="DH107" s="8">
        <f t="shared" si="187"/>
        <v>0</v>
      </c>
      <c r="DI107" s="8">
        <f t="shared" si="188"/>
        <v>0</v>
      </c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59" t="str">
        <f t="shared" si="189"/>
        <v>NA</v>
      </c>
      <c r="DU107" s="59" t="str">
        <f t="shared" si="190"/>
        <v>NA</v>
      </c>
      <c r="DV107" s="59" t="str">
        <f t="shared" si="191"/>
        <v>NA</v>
      </c>
      <c r="DW107" s="59" t="str">
        <f t="shared" si="192"/>
        <v>NA</v>
      </c>
      <c r="DX107" s="59" t="str">
        <f t="shared" si="193"/>
        <v>NA</v>
      </c>
      <c r="DY107" s="59" t="str">
        <f t="shared" si="194"/>
        <v>NA</v>
      </c>
      <c r="DZ107" s="59" t="str">
        <f t="shared" si="195"/>
        <v>NA</v>
      </c>
      <c r="EA107" s="59" t="str">
        <f t="shared" si="196"/>
        <v>NA</v>
      </c>
      <c r="EB107" s="59" t="str">
        <f t="shared" si="197"/>
        <v>NA</v>
      </c>
      <c r="EC107" s="59" t="str">
        <f t="shared" si="198"/>
        <v>NA</v>
      </c>
      <c r="ED107" s="59" t="str">
        <f t="shared" si="199"/>
        <v/>
      </c>
      <c r="EE107" s="59" t="str">
        <f t="shared" si="200"/>
        <v/>
      </c>
      <c r="EF107" s="59" t="str">
        <f t="shared" si="201"/>
        <v/>
      </c>
      <c r="EG107" s="59" t="str">
        <f t="shared" si="202"/>
        <v/>
      </c>
      <c r="EH107" s="59" t="str">
        <f t="shared" si="203"/>
        <v/>
      </c>
      <c r="EI107" s="59" t="str">
        <f t="shared" si="204"/>
        <v/>
      </c>
      <c r="EJ107" s="59" t="str">
        <f t="shared" si="205"/>
        <v/>
      </c>
      <c r="EK107" s="59" t="str">
        <f t="shared" si="206"/>
        <v/>
      </c>
      <c r="EL107" s="59" t="str">
        <f t="shared" si="207"/>
        <v/>
      </c>
      <c r="EM107" s="59" t="str">
        <f t="shared" si="208"/>
        <v/>
      </c>
      <c r="EN107" s="59" t="str">
        <f t="shared" si="209"/>
        <v/>
      </c>
      <c r="EO107" s="59" t="str">
        <f t="shared" si="210"/>
        <v/>
      </c>
      <c r="EP107" s="59" t="str">
        <f t="shared" si="211"/>
        <v/>
      </c>
      <c r="EQ107" s="59" t="str">
        <f t="shared" si="212"/>
        <v/>
      </c>
      <c r="ER107" s="59" t="str">
        <f t="shared" si="213"/>
        <v/>
      </c>
      <c r="ES107" s="59" t="str">
        <f t="shared" si="214"/>
        <v/>
      </c>
      <c r="ET107" s="59" t="str">
        <f t="shared" si="215"/>
        <v/>
      </c>
      <c r="EU107" s="59" t="str">
        <f t="shared" si="216"/>
        <v/>
      </c>
      <c r="EV107" s="59" t="str">
        <f t="shared" si="217"/>
        <v/>
      </c>
      <c r="EW107" s="59" t="str">
        <f t="shared" si="218"/>
        <v/>
      </c>
      <c r="EX107" s="56">
        <f t="shared" si="176"/>
        <v>1267167.8</v>
      </c>
    </row>
    <row r="108" spans="1:154" x14ac:dyDescent="0.25">
      <c r="A108" s="2">
        <f t="shared" si="219"/>
        <v>107</v>
      </c>
      <c r="B108" s="2" t="s">
        <v>6</v>
      </c>
      <c r="C108" s="2" t="str">
        <f t="shared" si="177"/>
        <v>020714</v>
      </c>
      <c r="D108" s="2">
        <v>2</v>
      </c>
      <c r="E108" s="2">
        <v>7</v>
      </c>
      <c r="F108" s="2">
        <v>14</v>
      </c>
      <c r="G108" s="14" t="s">
        <v>15</v>
      </c>
      <c r="H108" s="130"/>
      <c r="I108" s="42" t="s">
        <v>58</v>
      </c>
      <c r="J108" s="9">
        <v>80</v>
      </c>
      <c r="K108" s="5"/>
      <c r="L108" s="6" t="s">
        <v>306</v>
      </c>
      <c r="M108" s="23" t="s">
        <v>177</v>
      </c>
      <c r="N108" s="7">
        <f t="shared" si="220"/>
        <v>1126000</v>
      </c>
      <c r="O108" s="8">
        <v>146</v>
      </c>
      <c r="P108" s="25">
        <v>41197</v>
      </c>
      <c r="Q108" s="8" t="str">
        <f t="shared" si="178"/>
        <v>2DA-OCT</v>
      </c>
      <c r="R108" s="26">
        <v>0.1</v>
      </c>
      <c r="S108" s="41" t="s">
        <v>34</v>
      </c>
      <c r="T108" s="8" t="s">
        <v>353</v>
      </c>
      <c r="U108" s="8"/>
      <c r="V108" s="7">
        <v>563000</v>
      </c>
      <c r="W108" s="7">
        <f>+V108*0.63</f>
        <v>354690</v>
      </c>
      <c r="X108" s="7">
        <f t="shared" si="179"/>
        <v>208310</v>
      </c>
      <c r="Y108" s="7">
        <v>0</v>
      </c>
      <c r="Z108" s="7">
        <f t="shared" si="180"/>
        <v>354690</v>
      </c>
      <c r="AA108" s="148" t="str">
        <f t="shared" si="181"/>
        <v>65%</v>
      </c>
      <c r="AB108" s="148">
        <f t="shared" si="182"/>
        <v>0.35</v>
      </c>
      <c r="AC108" s="25">
        <f ca="1">TODAY()-45</f>
        <v>41077</v>
      </c>
      <c r="AD108" s="25">
        <f t="shared" ref="AD108:AE108" ca="1" si="290">TODAY()-45</f>
        <v>41077</v>
      </c>
      <c r="AE108" s="25">
        <f t="shared" ca="1" si="290"/>
        <v>41077</v>
      </c>
      <c r="AF108" s="8"/>
      <c r="AG108" s="59" t="str">
        <f t="shared" ca="1" si="183"/>
        <v>NA</v>
      </c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59" t="str">
        <f t="shared" si="228"/>
        <v>NA</v>
      </c>
      <c r="AS108" s="59" t="str">
        <f t="shared" si="229"/>
        <v/>
      </c>
      <c r="AT108" s="59"/>
      <c r="AU108" s="59" t="str">
        <f t="shared" si="162"/>
        <v>ND</v>
      </c>
      <c r="AV108" s="66"/>
      <c r="AW108" s="66"/>
      <c r="AX108" s="66"/>
      <c r="AY108" s="66"/>
      <c r="AZ108" s="8"/>
      <c r="BA108" s="8" t="s">
        <v>37</v>
      </c>
      <c r="BB108" s="8"/>
      <c r="BC108" s="8"/>
      <c r="BD108" s="8"/>
      <c r="BE108" s="8"/>
      <c r="BF108" s="8"/>
      <c r="BG108" s="8"/>
      <c r="BH108" s="8"/>
      <c r="BI108" s="8"/>
      <c r="BJ108" s="8"/>
      <c r="BK108" s="59"/>
      <c r="BL108" s="59"/>
      <c r="BM108" s="59"/>
      <c r="BN108" s="164">
        <v>0.01</v>
      </c>
      <c r="BO108" s="165">
        <f t="shared" si="184"/>
        <v>3753.3333333333335</v>
      </c>
      <c r="BP108" s="165">
        <f t="shared" ref="BP108:BQ108" si="291">BO108</f>
        <v>3753.3333333333335</v>
      </c>
      <c r="BQ108" s="165">
        <f t="shared" si="291"/>
        <v>3753.3333333333335</v>
      </c>
      <c r="BR108" s="59"/>
      <c r="BS108" s="59"/>
      <c r="BT108" s="59"/>
      <c r="BU108" s="59"/>
      <c r="BV108" s="59" t="str">
        <f t="shared" si="223"/>
        <v>ND</v>
      </c>
      <c r="BW108" s="59" t="str">
        <f t="shared" si="224"/>
        <v>ND</v>
      </c>
      <c r="BX108" s="59" t="str">
        <f t="shared" si="225"/>
        <v>ND</v>
      </c>
      <c r="BY108" s="59" t="str">
        <f t="shared" si="226"/>
        <v>ND</v>
      </c>
      <c r="BZ108" s="59" t="str">
        <f t="shared" si="164"/>
        <v>NA</v>
      </c>
      <c r="CA108" s="59" t="str">
        <f t="shared" si="165"/>
        <v/>
      </c>
      <c r="CB108" s="59" t="str">
        <f t="shared" si="166"/>
        <v>NA</v>
      </c>
      <c r="CC108" s="59" t="str">
        <f t="shared" si="167"/>
        <v/>
      </c>
      <c r="CD108" s="59" t="str">
        <f t="shared" si="168"/>
        <v>NA</v>
      </c>
      <c r="CE108" s="59" t="str">
        <f t="shared" si="169"/>
        <v/>
      </c>
      <c r="CF108" s="59" t="str">
        <f t="shared" si="170"/>
        <v>NA</v>
      </c>
      <c r="CG108" s="59" t="str">
        <f t="shared" ca="1" si="171"/>
        <v>NA</v>
      </c>
      <c r="CH108" s="59" t="str">
        <f t="shared" ca="1" si="172"/>
        <v>NA</v>
      </c>
      <c r="CI108" s="59" t="str">
        <f t="shared" ca="1" si="173"/>
        <v>DE 36 A 45 DIAS</v>
      </c>
      <c r="CJ108" s="59" t="str">
        <f t="shared" ca="1" si="174"/>
        <v>DE 36 A 45 DIAS</v>
      </c>
      <c r="CK108" s="59" t="str">
        <f t="shared" ca="1" si="175"/>
        <v>DE 36 A 45 DIAS</v>
      </c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>
        <f t="shared" si="186"/>
        <v>0</v>
      </c>
      <c r="DH108" s="8">
        <f t="shared" si="187"/>
        <v>0</v>
      </c>
      <c r="DI108" s="8">
        <f t="shared" si="188"/>
        <v>0</v>
      </c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59" t="str">
        <f t="shared" si="189"/>
        <v>NA</v>
      </c>
      <c r="DU108" s="59" t="str">
        <f t="shared" si="190"/>
        <v>NA</v>
      </c>
      <c r="DV108" s="59" t="str">
        <f t="shared" si="191"/>
        <v>NA</v>
      </c>
      <c r="DW108" s="59" t="str">
        <f t="shared" si="192"/>
        <v>NA</v>
      </c>
      <c r="DX108" s="59" t="str">
        <f t="shared" si="193"/>
        <v>NA</v>
      </c>
      <c r="DY108" s="59" t="str">
        <f t="shared" si="194"/>
        <v>NA</v>
      </c>
      <c r="DZ108" s="59" t="str">
        <f t="shared" si="195"/>
        <v>NA</v>
      </c>
      <c r="EA108" s="59" t="str">
        <f t="shared" si="196"/>
        <v>NA</v>
      </c>
      <c r="EB108" s="59" t="str">
        <f t="shared" si="197"/>
        <v>NA</v>
      </c>
      <c r="EC108" s="59" t="str">
        <f t="shared" si="198"/>
        <v>NA</v>
      </c>
      <c r="ED108" s="59" t="str">
        <f t="shared" si="199"/>
        <v/>
      </c>
      <c r="EE108" s="59" t="str">
        <f t="shared" si="200"/>
        <v/>
      </c>
      <c r="EF108" s="59" t="str">
        <f t="shared" si="201"/>
        <v/>
      </c>
      <c r="EG108" s="59" t="str">
        <f t="shared" si="202"/>
        <v/>
      </c>
      <c r="EH108" s="59" t="str">
        <f t="shared" si="203"/>
        <v/>
      </c>
      <c r="EI108" s="59" t="str">
        <f t="shared" si="204"/>
        <v/>
      </c>
      <c r="EJ108" s="59" t="str">
        <f t="shared" si="205"/>
        <v/>
      </c>
      <c r="EK108" s="59" t="str">
        <f t="shared" si="206"/>
        <v/>
      </c>
      <c r="EL108" s="59" t="str">
        <f t="shared" si="207"/>
        <v/>
      </c>
      <c r="EM108" s="59" t="str">
        <f t="shared" si="208"/>
        <v/>
      </c>
      <c r="EN108" s="59" t="str">
        <f t="shared" si="209"/>
        <v/>
      </c>
      <c r="EO108" s="59" t="str">
        <f t="shared" si="210"/>
        <v/>
      </c>
      <c r="EP108" s="59" t="str">
        <f t="shared" si="211"/>
        <v/>
      </c>
      <c r="EQ108" s="59" t="str">
        <f t="shared" si="212"/>
        <v/>
      </c>
      <c r="ER108" s="59" t="str">
        <f t="shared" si="213"/>
        <v/>
      </c>
      <c r="ES108" s="59" t="str">
        <f t="shared" si="214"/>
        <v/>
      </c>
      <c r="ET108" s="59" t="str">
        <f t="shared" si="215"/>
        <v/>
      </c>
      <c r="EU108" s="59" t="str">
        <f t="shared" si="216"/>
        <v/>
      </c>
      <c r="EV108" s="59" t="str">
        <f t="shared" si="217"/>
        <v/>
      </c>
      <c r="EW108" s="59" t="str">
        <f t="shared" si="218"/>
        <v/>
      </c>
      <c r="EX108" s="56">
        <f t="shared" si="176"/>
        <v>1126000</v>
      </c>
    </row>
    <row r="109" spans="1:154" x14ac:dyDescent="0.25">
      <c r="A109" s="2">
        <f t="shared" si="219"/>
        <v>108</v>
      </c>
      <c r="B109" s="2" t="s">
        <v>6</v>
      </c>
      <c r="C109" s="2" t="str">
        <f t="shared" si="177"/>
        <v>020715</v>
      </c>
      <c r="D109" s="13">
        <v>2</v>
      </c>
      <c r="E109" s="13">
        <v>7</v>
      </c>
      <c r="F109" s="13">
        <v>15</v>
      </c>
      <c r="G109" s="14" t="s">
        <v>15</v>
      </c>
      <c r="H109" s="130"/>
      <c r="I109" s="42" t="s">
        <v>58</v>
      </c>
      <c r="J109" s="15">
        <v>80</v>
      </c>
      <c r="K109" s="156"/>
      <c r="L109" s="6" t="s">
        <v>306</v>
      </c>
      <c r="M109" s="23" t="s">
        <v>177</v>
      </c>
      <c r="N109" s="7">
        <f t="shared" si="220"/>
        <v>1126000</v>
      </c>
      <c r="O109" s="8">
        <v>147</v>
      </c>
      <c r="P109" s="25">
        <v>41197</v>
      </c>
      <c r="Q109" s="8" t="str">
        <f t="shared" si="178"/>
        <v>2DA-OCT</v>
      </c>
      <c r="R109" s="26">
        <v>0.1</v>
      </c>
      <c r="S109" s="41" t="s">
        <v>34</v>
      </c>
      <c r="T109" s="8" t="s">
        <v>353</v>
      </c>
      <c r="U109" s="8"/>
      <c r="V109" s="7">
        <v>563000</v>
      </c>
      <c r="W109" s="7">
        <f t="shared" ref="W109:W118" si="292">+V109*0.63</f>
        <v>354690</v>
      </c>
      <c r="X109" s="7">
        <f t="shared" si="179"/>
        <v>208310</v>
      </c>
      <c r="Y109" s="7">
        <v>0</v>
      </c>
      <c r="Z109" s="7">
        <f t="shared" si="180"/>
        <v>354690</v>
      </c>
      <c r="AA109" s="148" t="str">
        <f t="shared" si="181"/>
        <v>65%</v>
      </c>
      <c r="AB109" s="148">
        <f t="shared" si="182"/>
        <v>0.35</v>
      </c>
      <c r="AC109" s="25">
        <f ca="1">TODAY()-50</f>
        <v>41072</v>
      </c>
      <c r="AD109" s="25">
        <f t="shared" ref="AD109:AE109" ca="1" si="293">TODAY()-50</f>
        <v>41072</v>
      </c>
      <c r="AE109" s="25">
        <f t="shared" ca="1" si="293"/>
        <v>41072</v>
      </c>
      <c r="AF109" s="8"/>
      <c r="AG109" s="59" t="str">
        <f t="shared" ca="1" si="183"/>
        <v>NA</v>
      </c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59" t="str">
        <f t="shared" si="228"/>
        <v>NA</v>
      </c>
      <c r="AS109" s="59" t="str">
        <f t="shared" si="229"/>
        <v/>
      </c>
      <c r="AT109" s="59"/>
      <c r="AU109" s="59" t="str">
        <f t="shared" si="162"/>
        <v>ND</v>
      </c>
      <c r="AV109" s="66"/>
      <c r="AW109" s="66"/>
      <c r="AX109" s="66"/>
      <c r="AY109" s="66"/>
      <c r="AZ109" s="8"/>
      <c r="BA109" s="8" t="s">
        <v>37</v>
      </c>
      <c r="BB109" s="8"/>
      <c r="BC109" s="8"/>
      <c r="BD109" s="8"/>
      <c r="BE109" s="8"/>
      <c r="BF109" s="8"/>
      <c r="BG109" s="8"/>
      <c r="BH109" s="8"/>
      <c r="BI109" s="8"/>
      <c r="BJ109" s="8"/>
      <c r="BK109" s="59"/>
      <c r="BL109" s="59"/>
      <c r="BM109" s="59"/>
      <c r="BN109" s="164">
        <v>0.01</v>
      </c>
      <c r="BO109" s="165">
        <f t="shared" si="184"/>
        <v>3753.3333333333335</v>
      </c>
      <c r="BP109" s="165">
        <f t="shared" ref="BP109:BQ109" si="294">BO109</f>
        <v>3753.3333333333335</v>
      </c>
      <c r="BQ109" s="165">
        <f t="shared" si="294"/>
        <v>3753.3333333333335</v>
      </c>
      <c r="BR109" s="59"/>
      <c r="BS109" s="59"/>
      <c r="BT109" s="59"/>
      <c r="BU109" s="59"/>
      <c r="BV109" s="59" t="str">
        <f t="shared" si="223"/>
        <v>ND</v>
      </c>
      <c r="BW109" s="59" t="str">
        <f t="shared" si="224"/>
        <v>ND</v>
      </c>
      <c r="BX109" s="59" t="str">
        <f t="shared" si="225"/>
        <v>ND</v>
      </c>
      <c r="BY109" s="59" t="str">
        <f t="shared" si="226"/>
        <v>ND</v>
      </c>
      <c r="BZ109" s="59" t="str">
        <f t="shared" si="164"/>
        <v>NA</v>
      </c>
      <c r="CA109" s="59" t="str">
        <f t="shared" si="165"/>
        <v/>
      </c>
      <c r="CB109" s="59" t="str">
        <f t="shared" si="166"/>
        <v>NA</v>
      </c>
      <c r="CC109" s="59" t="str">
        <f t="shared" si="167"/>
        <v/>
      </c>
      <c r="CD109" s="59" t="str">
        <f t="shared" si="168"/>
        <v>NA</v>
      </c>
      <c r="CE109" s="59" t="str">
        <f t="shared" si="169"/>
        <v/>
      </c>
      <c r="CF109" s="59" t="str">
        <f t="shared" si="170"/>
        <v>NA</v>
      </c>
      <c r="CG109" s="59" t="str">
        <f t="shared" ca="1" si="171"/>
        <v>NA</v>
      </c>
      <c r="CH109" s="59" t="str">
        <f t="shared" ca="1" si="172"/>
        <v>NA</v>
      </c>
      <c r="CI109" s="59" t="str">
        <f t="shared" ca="1" si="173"/>
        <v>MAYOR A 45 DIAS</v>
      </c>
      <c r="CJ109" s="59" t="str">
        <f t="shared" ca="1" si="174"/>
        <v>MAYOR A 45 DIAS</v>
      </c>
      <c r="CK109" s="59" t="str">
        <f t="shared" ca="1" si="175"/>
        <v>MAYOR A 45 DIAS</v>
      </c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>
        <f t="shared" si="186"/>
        <v>0</v>
      </c>
      <c r="DH109" s="8">
        <f t="shared" si="187"/>
        <v>0</v>
      </c>
      <c r="DI109" s="8">
        <f t="shared" si="188"/>
        <v>0</v>
      </c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59" t="str">
        <f t="shared" si="189"/>
        <v>NA</v>
      </c>
      <c r="DU109" s="59" t="str">
        <f t="shared" si="190"/>
        <v>NA</v>
      </c>
      <c r="DV109" s="59" t="str">
        <f t="shared" si="191"/>
        <v>NA</v>
      </c>
      <c r="DW109" s="59" t="str">
        <f t="shared" si="192"/>
        <v>NA</v>
      </c>
      <c r="DX109" s="59" t="str">
        <f t="shared" si="193"/>
        <v>NA</v>
      </c>
      <c r="DY109" s="59" t="str">
        <f t="shared" si="194"/>
        <v>NA</v>
      </c>
      <c r="DZ109" s="59" t="str">
        <f t="shared" si="195"/>
        <v>NA</v>
      </c>
      <c r="EA109" s="59" t="str">
        <f t="shared" si="196"/>
        <v>NA</v>
      </c>
      <c r="EB109" s="59" t="str">
        <f t="shared" si="197"/>
        <v>NA</v>
      </c>
      <c r="EC109" s="59" t="str">
        <f t="shared" si="198"/>
        <v>NA</v>
      </c>
      <c r="ED109" s="59" t="str">
        <f t="shared" si="199"/>
        <v/>
      </c>
      <c r="EE109" s="59" t="str">
        <f t="shared" si="200"/>
        <v/>
      </c>
      <c r="EF109" s="59" t="str">
        <f t="shared" si="201"/>
        <v/>
      </c>
      <c r="EG109" s="59" t="str">
        <f t="shared" si="202"/>
        <v/>
      </c>
      <c r="EH109" s="59" t="str">
        <f t="shared" si="203"/>
        <v/>
      </c>
      <c r="EI109" s="59" t="str">
        <f t="shared" si="204"/>
        <v/>
      </c>
      <c r="EJ109" s="59" t="str">
        <f t="shared" si="205"/>
        <v/>
      </c>
      <c r="EK109" s="59" t="str">
        <f t="shared" si="206"/>
        <v/>
      </c>
      <c r="EL109" s="59" t="str">
        <f t="shared" si="207"/>
        <v/>
      </c>
      <c r="EM109" s="59" t="str">
        <f t="shared" si="208"/>
        <v/>
      </c>
      <c r="EN109" s="59" t="str">
        <f t="shared" si="209"/>
        <v/>
      </c>
      <c r="EO109" s="59" t="str">
        <f t="shared" si="210"/>
        <v/>
      </c>
      <c r="EP109" s="59" t="str">
        <f t="shared" si="211"/>
        <v/>
      </c>
      <c r="EQ109" s="59" t="str">
        <f t="shared" si="212"/>
        <v/>
      </c>
      <c r="ER109" s="59" t="str">
        <f t="shared" si="213"/>
        <v/>
      </c>
      <c r="ES109" s="59" t="str">
        <f t="shared" si="214"/>
        <v/>
      </c>
      <c r="ET109" s="59" t="str">
        <f t="shared" si="215"/>
        <v/>
      </c>
      <c r="EU109" s="59" t="str">
        <f t="shared" si="216"/>
        <v/>
      </c>
      <c r="EV109" s="59" t="str">
        <f t="shared" si="217"/>
        <v/>
      </c>
      <c r="EW109" s="59" t="str">
        <f t="shared" si="218"/>
        <v/>
      </c>
      <c r="EX109" s="56">
        <f t="shared" si="176"/>
        <v>1126000</v>
      </c>
    </row>
    <row r="110" spans="1:154" x14ac:dyDescent="0.25">
      <c r="A110" s="2">
        <f t="shared" si="219"/>
        <v>109</v>
      </c>
      <c r="B110" s="2" t="s">
        <v>6</v>
      </c>
      <c r="C110" s="2" t="str">
        <f t="shared" si="177"/>
        <v>020716</v>
      </c>
      <c r="D110" s="2">
        <v>2</v>
      </c>
      <c r="E110" s="2">
        <v>7</v>
      </c>
      <c r="F110" s="2">
        <v>16</v>
      </c>
      <c r="G110" s="14" t="s">
        <v>15</v>
      </c>
      <c r="H110" s="130"/>
      <c r="I110" s="42" t="s">
        <v>58</v>
      </c>
      <c r="J110" s="15">
        <v>80</v>
      </c>
      <c r="K110" s="15"/>
      <c r="L110" s="10" t="s">
        <v>8</v>
      </c>
      <c r="M110" s="23" t="s">
        <v>177</v>
      </c>
      <c r="N110" s="7">
        <f t="shared" si="220"/>
        <v>1135000</v>
      </c>
      <c r="O110" s="8">
        <v>148</v>
      </c>
      <c r="P110" s="25">
        <v>41197</v>
      </c>
      <c r="Q110" s="8" t="str">
        <f t="shared" si="178"/>
        <v>2DA-OCT</v>
      </c>
      <c r="R110" s="26">
        <v>0.1</v>
      </c>
      <c r="S110" s="41" t="s">
        <v>34</v>
      </c>
      <c r="T110" s="8" t="s">
        <v>353</v>
      </c>
      <c r="U110" s="8"/>
      <c r="V110" s="7">
        <v>567500</v>
      </c>
      <c r="W110" s="7">
        <f t="shared" si="292"/>
        <v>357525</v>
      </c>
      <c r="X110" s="7">
        <f t="shared" si="179"/>
        <v>209975</v>
      </c>
      <c r="Y110" s="7">
        <v>0</v>
      </c>
      <c r="Z110" s="7">
        <f t="shared" si="180"/>
        <v>357525</v>
      </c>
      <c r="AA110" s="148" t="str">
        <f t="shared" si="181"/>
        <v>65%</v>
      </c>
      <c r="AB110" s="148">
        <f t="shared" si="182"/>
        <v>0.35</v>
      </c>
      <c r="AC110" s="25">
        <f ca="1">TODAY()-4</f>
        <v>41118</v>
      </c>
      <c r="AD110" s="25">
        <f t="shared" ref="AD110:AE110" ca="1" si="295">TODAY()-4</f>
        <v>41118</v>
      </c>
      <c r="AE110" s="25">
        <f t="shared" ca="1" si="295"/>
        <v>41118</v>
      </c>
      <c r="AF110" s="8"/>
      <c r="AG110" s="59" t="str">
        <f t="shared" ca="1" si="183"/>
        <v>NA</v>
      </c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59" t="str">
        <f t="shared" si="228"/>
        <v>NA</v>
      </c>
      <c r="AS110" s="59" t="str">
        <f t="shared" si="229"/>
        <v/>
      </c>
      <c r="AT110" s="59"/>
      <c r="AU110" s="59" t="str">
        <f t="shared" si="162"/>
        <v>ND</v>
      </c>
      <c r="AV110" s="66"/>
      <c r="AW110" s="66"/>
      <c r="AX110" s="66"/>
      <c r="AY110" s="66"/>
      <c r="AZ110" s="8"/>
      <c r="BA110" s="8" t="s">
        <v>37</v>
      </c>
      <c r="BB110" s="8"/>
      <c r="BC110" s="8"/>
      <c r="BD110" s="8"/>
      <c r="BE110" s="8"/>
      <c r="BF110" s="8"/>
      <c r="BG110" s="8"/>
      <c r="BH110" s="8"/>
      <c r="BI110" s="8"/>
      <c r="BJ110" s="8"/>
      <c r="BK110" s="59"/>
      <c r="BL110" s="59"/>
      <c r="BM110" s="59"/>
      <c r="BN110" s="164">
        <v>0.01</v>
      </c>
      <c r="BO110" s="165">
        <f t="shared" si="184"/>
        <v>3783.3333333333335</v>
      </c>
      <c r="BP110" s="165">
        <f t="shared" ref="BP110:BQ110" si="296">BO110</f>
        <v>3783.3333333333335</v>
      </c>
      <c r="BQ110" s="165">
        <f t="shared" si="296"/>
        <v>3783.3333333333335</v>
      </c>
      <c r="BR110" s="59"/>
      <c r="BS110" s="59"/>
      <c r="BT110" s="59"/>
      <c r="BU110" s="59"/>
      <c r="BV110" s="59" t="str">
        <f t="shared" si="223"/>
        <v>ND</v>
      </c>
      <c r="BW110" s="59" t="str">
        <f t="shared" si="224"/>
        <v>ND</v>
      </c>
      <c r="BX110" s="59" t="str">
        <f t="shared" si="225"/>
        <v>ND</v>
      </c>
      <c r="BY110" s="59" t="str">
        <f t="shared" si="226"/>
        <v>ND</v>
      </c>
      <c r="BZ110" s="59" t="str">
        <f t="shared" si="164"/>
        <v>NA</v>
      </c>
      <c r="CA110" s="59" t="str">
        <f t="shared" si="165"/>
        <v/>
      </c>
      <c r="CB110" s="59" t="str">
        <f t="shared" si="166"/>
        <v>NA</v>
      </c>
      <c r="CC110" s="59" t="str">
        <f t="shared" si="167"/>
        <v/>
      </c>
      <c r="CD110" s="59" t="str">
        <f t="shared" si="168"/>
        <v>NA</v>
      </c>
      <c r="CE110" s="59" t="str">
        <f t="shared" si="169"/>
        <v/>
      </c>
      <c r="CF110" s="59" t="str">
        <f t="shared" si="170"/>
        <v>NA</v>
      </c>
      <c r="CG110" s="59" t="str">
        <f t="shared" ca="1" si="171"/>
        <v>NA</v>
      </c>
      <c r="CH110" s="59" t="str">
        <f t="shared" ca="1" si="172"/>
        <v>NA</v>
      </c>
      <c r="CI110" s="59" t="str">
        <f t="shared" ca="1" si="173"/>
        <v>HASTA 5 DIAS</v>
      </c>
      <c r="CJ110" s="59" t="str">
        <f t="shared" ca="1" si="174"/>
        <v>HASTA 5 DIAS</v>
      </c>
      <c r="CK110" s="59" t="str">
        <f t="shared" ca="1" si="175"/>
        <v>HASTA 5 DIAS</v>
      </c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>
        <f t="shared" si="186"/>
        <v>0</v>
      </c>
      <c r="DH110" s="8">
        <f t="shared" si="187"/>
        <v>0</v>
      </c>
      <c r="DI110" s="8">
        <f t="shared" si="188"/>
        <v>0</v>
      </c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59" t="str">
        <f t="shared" si="189"/>
        <v>NA</v>
      </c>
      <c r="DU110" s="59" t="str">
        <f t="shared" si="190"/>
        <v>NA</v>
      </c>
      <c r="DV110" s="59" t="str">
        <f t="shared" si="191"/>
        <v>NA</v>
      </c>
      <c r="DW110" s="59" t="str">
        <f t="shared" si="192"/>
        <v>NA</v>
      </c>
      <c r="DX110" s="59" t="str">
        <f t="shared" si="193"/>
        <v>NA</v>
      </c>
      <c r="DY110" s="59" t="str">
        <f t="shared" si="194"/>
        <v>NA</v>
      </c>
      <c r="DZ110" s="59" t="str">
        <f t="shared" si="195"/>
        <v>NA</v>
      </c>
      <c r="EA110" s="59" t="str">
        <f t="shared" si="196"/>
        <v>NA</v>
      </c>
      <c r="EB110" s="59" t="str">
        <f t="shared" si="197"/>
        <v>NA</v>
      </c>
      <c r="EC110" s="59" t="str">
        <f t="shared" si="198"/>
        <v>NA</v>
      </c>
      <c r="ED110" s="59" t="str">
        <f t="shared" si="199"/>
        <v/>
      </c>
      <c r="EE110" s="59" t="str">
        <f t="shared" si="200"/>
        <v/>
      </c>
      <c r="EF110" s="59" t="str">
        <f t="shared" si="201"/>
        <v/>
      </c>
      <c r="EG110" s="59" t="str">
        <f t="shared" si="202"/>
        <v/>
      </c>
      <c r="EH110" s="59" t="str">
        <f t="shared" si="203"/>
        <v/>
      </c>
      <c r="EI110" s="59" t="str">
        <f t="shared" si="204"/>
        <v/>
      </c>
      <c r="EJ110" s="59" t="str">
        <f t="shared" si="205"/>
        <v/>
      </c>
      <c r="EK110" s="59" t="str">
        <f t="shared" si="206"/>
        <v/>
      </c>
      <c r="EL110" s="59" t="str">
        <f t="shared" si="207"/>
        <v/>
      </c>
      <c r="EM110" s="59" t="str">
        <f t="shared" si="208"/>
        <v/>
      </c>
      <c r="EN110" s="59" t="str">
        <f t="shared" si="209"/>
        <v/>
      </c>
      <c r="EO110" s="59" t="str">
        <f t="shared" si="210"/>
        <v/>
      </c>
      <c r="EP110" s="59" t="str">
        <f t="shared" si="211"/>
        <v/>
      </c>
      <c r="EQ110" s="59" t="str">
        <f t="shared" si="212"/>
        <v/>
      </c>
      <c r="ER110" s="59" t="str">
        <f t="shared" si="213"/>
        <v/>
      </c>
      <c r="ES110" s="59" t="str">
        <f t="shared" si="214"/>
        <v/>
      </c>
      <c r="ET110" s="59" t="str">
        <f t="shared" si="215"/>
        <v/>
      </c>
      <c r="EU110" s="59" t="str">
        <f t="shared" si="216"/>
        <v/>
      </c>
      <c r="EV110" s="59" t="str">
        <f t="shared" si="217"/>
        <v/>
      </c>
      <c r="EW110" s="59" t="str">
        <f t="shared" si="218"/>
        <v/>
      </c>
      <c r="EX110" s="56">
        <f t="shared" si="176"/>
        <v>1135000</v>
      </c>
    </row>
    <row r="111" spans="1:154" x14ac:dyDescent="0.25">
      <c r="A111" s="2">
        <f t="shared" si="219"/>
        <v>110</v>
      </c>
      <c r="B111" s="2" t="s">
        <v>6</v>
      </c>
      <c r="C111" s="2" t="str">
        <f t="shared" si="177"/>
        <v>020717</v>
      </c>
      <c r="D111" s="2">
        <v>2</v>
      </c>
      <c r="E111" s="2">
        <v>7</v>
      </c>
      <c r="F111" s="2">
        <v>17</v>
      </c>
      <c r="G111" s="14" t="s">
        <v>15</v>
      </c>
      <c r="H111" s="130"/>
      <c r="I111" s="42" t="s">
        <v>58</v>
      </c>
      <c r="J111" s="15">
        <v>80</v>
      </c>
      <c r="K111" s="156"/>
      <c r="L111" s="6" t="s">
        <v>306</v>
      </c>
      <c r="M111" s="23" t="s">
        <v>177</v>
      </c>
      <c r="N111" s="7">
        <f t="shared" si="220"/>
        <v>1126000</v>
      </c>
      <c r="O111" s="8">
        <v>149</v>
      </c>
      <c r="P111" s="25">
        <v>41197</v>
      </c>
      <c r="Q111" s="8" t="str">
        <f t="shared" si="178"/>
        <v>2DA-OCT</v>
      </c>
      <c r="R111" s="26">
        <v>0.1</v>
      </c>
      <c r="S111" s="41" t="s">
        <v>34</v>
      </c>
      <c r="T111" s="8" t="s">
        <v>353</v>
      </c>
      <c r="U111" s="8"/>
      <c r="V111" s="7">
        <v>563000</v>
      </c>
      <c r="W111" s="7">
        <f t="shared" si="292"/>
        <v>354690</v>
      </c>
      <c r="X111" s="7">
        <f t="shared" si="179"/>
        <v>208310</v>
      </c>
      <c r="Y111" s="7">
        <v>0</v>
      </c>
      <c r="Z111" s="7">
        <f t="shared" si="180"/>
        <v>354690</v>
      </c>
      <c r="AA111" s="148" t="str">
        <f t="shared" si="181"/>
        <v>65%</v>
      </c>
      <c r="AB111" s="148">
        <f t="shared" si="182"/>
        <v>0.35</v>
      </c>
      <c r="AC111" s="25">
        <f ca="1">TODAY()-9</f>
        <v>41113</v>
      </c>
      <c r="AD111" s="25">
        <f t="shared" ref="AD111:AE111" ca="1" si="297">TODAY()-9</f>
        <v>41113</v>
      </c>
      <c r="AE111" s="25">
        <f t="shared" ca="1" si="297"/>
        <v>41113</v>
      </c>
      <c r="AF111" s="8"/>
      <c r="AG111" s="59" t="str">
        <f t="shared" ca="1" si="183"/>
        <v>NA</v>
      </c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59" t="str">
        <f t="shared" si="228"/>
        <v>NA</v>
      </c>
      <c r="AS111" s="59" t="str">
        <f t="shared" si="229"/>
        <v/>
      </c>
      <c r="AT111" s="59"/>
      <c r="AU111" s="59" t="str">
        <f t="shared" si="162"/>
        <v>ND</v>
      </c>
      <c r="AV111" s="66"/>
      <c r="AW111" s="66"/>
      <c r="AX111" s="66"/>
      <c r="AY111" s="66"/>
      <c r="AZ111" s="8"/>
      <c r="BA111" s="8" t="s">
        <v>37</v>
      </c>
      <c r="BB111" s="8"/>
      <c r="BC111" s="8"/>
      <c r="BD111" s="8"/>
      <c r="BE111" s="8"/>
      <c r="BF111" s="8"/>
      <c r="BG111" s="8"/>
      <c r="BH111" s="8"/>
      <c r="BI111" s="8"/>
      <c r="BJ111" s="8"/>
      <c r="BK111" s="59"/>
      <c r="BL111" s="59"/>
      <c r="BM111" s="59"/>
      <c r="BN111" s="164">
        <v>0.01</v>
      </c>
      <c r="BO111" s="165">
        <f t="shared" si="184"/>
        <v>3753.3333333333335</v>
      </c>
      <c r="BP111" s="165">
        <f t="shared" ref="BP111:BQ111" si="298">BO111</f>
        <v>3753.3333333333335</v>
      </c>
      <c r="BQ111" s="165">
        <f t="shared" si="298"/>
        <v>3753.3333333333335</v>
      </c>
      <c r="BR111" s="59"/>
      <c r="BS111" s="59"/>
      <c r="BT111" s="59"/>
      <c r="BU111" s="59"/>
      <c r="BV111" s="59" t="str">
        <f t="shared" si="223"/>
        <v>ND</v>
      </c>
      <c r="BW111" s="59" t="str">
        <f t="shared" si="224"/>
        <v>ND</v>
      </c>
      <c r="BX111" s="59" t="str">
        <f t="shared" si="225"/>
        <v>ND</v>
      </c>
      <c r="BY111" s="59" t="str">
        <f t="shared" si="226"/>
        <v>ND</v>
      </c>
      <c r="BZ111" s="59" t="str">
        <f t="shared" si="164"/>
        <v>NA</v>
      </c>
      <c r="CA111" s="59" t="str">
        <f t="shared" si="165"/>
        <v/>
      </c>
      <c r="CB111" s="59" t="str">
        <f t="shared" si="166"/>
        <v>NA</v>
      </c>
      <c r="CC111" s="59" t="str">
        <f t="shared" si="167"/>
        <v/>
      </c>
      <c r="CD111" s="59" t="str">
        <f t="shared" si="168"/>
        <v>NA</v>
      </c>
      <c r="CE111" s="59" t="str">
        <f t="shared" si="169"/>
        <v/>
      </c>
      <c r="CF111" s="59" t="str">
        <f t="shared" si="170"/>
        <v>NA</v>
      </c>
      <c r="CG111" s="59" t="str">
        <f t="shared" ca="1" si="171"/>
        <v>NA</v>
      </c>
      <c r="CH111" s="59" t="str">
        <f t="shared" ca="1" si="172"/>
        <v>NA</v>
      </c>
      <c r="CI111" s="59" t="str">
        <f t="shared" ca="1" si="173"/>
        <v>DE 6 A 10 DIAS</v>
      </c>
      <c r="CJ111" s="59" t="str">
        <f t="shared" ca="1" si="174"/>
        <v>DE 6 A 10 DIAS</v>
      </c>
      <c r="CK111" s="59" t="str">
        <f t="shared" ca="1" si="175"/>
        <v>DE 6 A 10 DIAS</v>
      </c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>
        <f t="shared" si="186"/>
        <v>0</v>
      </c>
      <c r="DH111" s="8">
        <f t="shared" si="187"/>
        <v>0</v>
      </c>
      <c r="DI111" s="8">
        <f t="shared" si="188"/>
        <v>0</v>
      </c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59" t="str">
        <f t="shared" si="189"/>
        <v>NA</v>
      </c>
      <c r="DU111" s="59" t="str">
        <f t="shared" si="190"/>
        <v>NA</v>
      </c>
      <c r="DV111" s="59" t="str">
        <f t="shared" si="191"/>
        <v>NA</v>
      </c>
      <c r="DW111" s="59" t="str">
        <f t="shared" si="192"/>
        <v>NA</v>
      </c>
      <c r="DX111" s="59" t="str">
        <f t="shared" si="193"/>
        <v>NA</v>
      </c>
      <c r="DY111" s="59" t="str">
        <f t="shared" si="194"/>
        <v>NA</v>
      </c>
      <c r="DZ111" s="59" t="str">
        <f t="shared" si="195"/>
        <v>NA</v>
      </c>
      <c r="EA111" s="59" t="str">
        <f t="shared" si="196"/>
        <v>NA</v>
      </c>
      <c r="EB111" s="59" t="str">
        <f t="shared" si="197"/>
        <v>NA</v>
      </c>
      <c r="EC111" s="59" t="str">
        <f t="shared" si="198"/>
        <v>NA</v>
      </c>
      <c r="ED111" s="59" t="str">
        <f t="shared" si="199"/>
        <v/>
      </c>
      <c r="EE111" s="59" t="str">
        <f t="shared" si="200"/>
        <v/>
      </c>
      <c r="EF111" s="59" t="str">
        <f t="shared" si="201"/>
        <v/>
      </c>
      <c r="EG111" s="59" t="str">
        <f t="shared" si="202"/>
        <v/>
      </c>
      <c r="EH111" s="59" t="str">
        <f t="shared" si="203"/>
        <v/>
      </c>
      <c r="EI111" s="59" t="str">
        <f t="shared" si="204"/>
        <v/>
      </c>
      <c r="EJ111" s="59" t="str">
        <f t="shared" si="205"/>
        <v/>
      </c>
      <c r="EK111" s="59" t="str">
        <f t="shared" si="206"/>
        <v/>
      </c>
      <c r="EL111" s="59" t="str">
        <f t="shared" si="207"/>
        <v/>
      </c>
      <c r="EM111" s="59" t="str">
        <f t="shared" si="208"/>
        <v/>
      </c>
      <c r="EN111" s="59" t="str">
        <f t="shared" si="209"/>
        <v/>
      </c>
      <c r="EO111" s="59" t="str">
        <f t="shared" si="210"/>
        <v/>
      </c>
      <c r="EP111" s="59" t="str">
        <f t="shared" si="211"/>
        <v/>
      </c>
      <c r="EQ111" s="59" t="str">
        <f t="shared" si="212"/>
        <v/>
      </c>
      <c r="ER111" s="59" t="str">
        <f t="shared" si="213"/>
        <v/>
      </c>
      <c r="ES111" s="59" t="str">
        <f t="shared" si="214"/>
        <v/>
      </c>
      <c r="ET111" s="59" t="str">
        <f t="shared" si="215"/>
        <v/>
      </c>
      <c r="EU111" s="59" t="str">
        <f t="shared" si="216"/>
        <v/>
      </c>
      <c r="EV111" s="59" t="str">
        <f t="shared" si="217"/>
        <v/>
      </c>
      <c r="EW111" s="59" t="str">
        <f t="shared" si="218"/>
        <v/>
      </c>
      <c r="EX111" s="56">
        <f t="shared" si="176"/>
        <v>1126000</v>
      </c>
    </row>
    <row r="112" spans="1:154" x14ac:dyDescent="0.25">
      <c r="A112" s="2">
        <f t="shared" si="219"/>
        <v>111</v>
      </c>
      <c r="B112" s="2" t="s">
        <v>6</v>
      </c>
      <c r="C112" s="2" t="str">
        <f t="shared" si="177"/>
        <v>020718</v>
      </c>
      <c r="D112" s="2">
        <v>2</v>
      </c>
      <c r="E112" s="2">
        <v>7</v>
      </c>
      <c r="F112" s="2">
        <v>18</v>
      </c>
      <c r="G112" s="14" t="s">
        <v>15</v>
      </c>
      <c r="H112" s="130"/>
      <c r="I112" s="42" t="s">
        <v>58</v>
      </c>
      <c r="J112" s="15">
        <v>80</v>
      </c>
      <c r="K112" s="156"/>
      <c r="L112" s="6" t="s">
        <v>306</v>
      </c>
      <c r="M112" s="23" t="s">
        <v>177</v>
      </c>
      <c r="N112" s="7">
        <f t="shared" si="220"/>
        <v>1126000</v>
      </c>
      <c r="O112" s="8">
        <v>150</v>
      </c>
      <c r="P112" s="25">
        <v>41197</v>
      </c>
      <c r="Q112" s="8" t="str">
        <f t="shared" si="178"/>
        <v>2DA-OCT</v>
      </c>
      <c r="R112" s="26">
        <v>0.1</v>
      </c>
      <c r="S112" s="41" t="s">
        <v>34</v>
      </c>
      <c r="T112" s="8" t="s">
        <v>353</v>
      </c>
      <c r="U112" s="8"/>
      <c r="V112" s="7">
        <v>563000</v>
      </c>
      <c r="W112" s="7">
        <f t="shared" si="292"/>
        <v>354690</v>
      </c>
      <c r="X112" s="7">
        <f t="shared" si="179"/>
        <v>208310</v>
      </c>
      <c r="Y112" s="7">
        <v>0</v>
      </c>
      <c r="Z112" s="7">
        <f t="shared" si="180"/>
        <v>354690</v>
      </c>
      <c r="AA112" s="148" t="str">
        <f t="shared" si="181"/>
        <v>65%</v>
      </c>
      <c r="AB112" s="148">
        <f t="shared" si="182"/>
        <v>0.35</v>
      </c>
      <c r="AC112" s="25">
        <f ca="1">TODAY()-14</f>
        <v>41108</v>
      </c>
      <c r="AD112" s="25">
        <f t="shared" ref="AD112:AE112" ca="1" si="299">TODAY()-14</f>
        <v>41108</v>
      </c>
      <c r="AE112" s="25">
        <f t="shared" ca="1" si="299"/>
        <v>41108</v>
      </c>
      <c r="AF112" s="8"/>
      <c r="AG112" s="59" t="str">
        <f t="shared" ca="1" si="183"/>
        <v>NA</v>
      </c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59" t="str">
        <f t="shared" si="228"/>
        <v>NA</v>
      </c>
      <c r="AS112" s="59" t="str">
        <f t="shared" si="229"/>
        <v/>
      </c>
      <c r="AT112" s="59"/>
      <c r="AU112" s="59" t="str">
        <f t="shared" si="162"/>
        <v>ND</v>
      </c>
      <c r="AV112" s="66"/>
      <c r="AW112" s="66"/>
      <c r="AX112" s="66"/>
      <c r="AY112" s="66"/>
      <c r="AZ112" s="8"/>
      <c r="BA112" s="8" t="s">
        <v>37</v>
      </c>
      <c r="BB112" s="8"/>
      <c r="BC112" s="8"/>
      <c r="BD112" s="8"/>
      <c r="BE112" s="8"/>
      <c r="BF112" s="8"/>
      <c r="BG112" s="8"/>
      <c r="BH112" s="8"/>
      <c r="BI112" s="8"/>
      <c r="BJ112" s="8"/>
      <c r="BK112" s="59"/>
      <c r="BL112" s="59"/>
      <c r="BM112" s="59"/>
      <c r="BN112" s="164">
        <v>0.01</v>
      </c>
      <c r="BO112" s="165">
        <f t="shared" si="184"/>
        <v>3753.3333333333335</v>
      </c>
      <c r="BP112" s="165">
        <f t="shared" ref="BP112:BQ112" si="300">BO112</f>
        <v>3753.3333333333335</v>
      </c>
      <c r="BQ112" s="165">
        <f t="shared" si="300"/>
        <v>3753.3333333333335</v>
      </c>
      <c r="BR112" s="59"/>
      <c r="BS112" s="59"/>
      <c r="BT112" s="59"/>
      <c r="BU112" s="59"/>
      <c r="BV112" s="59" t="str">
        <f t="shared" si="223"/>
        <v>ND</v>
      </c>
      <c r="BW112" s="59" t="str">
        <f t="shared" si="224"/>
        <v>ND</v>
      </c>
      <c r="BX112" s="59" t="str">
        <f t="shared" si="225"/>
        <v>ND</v>
      </c>
      <c r="BY112" s="59" t="str">
        <f t="shared" si="226"/>
        <v>ND</v>
      </c>
      <c r="BZ112" s="59" t="str">
        <f t="shared" si="164"/>
        <v>NA</v>
      </c>
      <c r="CA112" s="59" t="str">
        <f t="shared" si="165"/>
        <v/>
      </c>
      <c r="CB112" s="59" t="str">
        <f t="shared" si="166"/>
        <v>NA</v>
      </c>
      <c r="CC112" s="59" t="str">
        <f t="shared" si="167"/>
        <v/>
      </c>
      <c r="CD112" s="59" t="str">
        <f t="shared" si="168"/>
        <v>NA</v>
      </c>
      <c r="CE112" s="59" t="str">
        <f t="shared" si="169"/>
        <v/>
      </c>
      <c r="CF112" s="59" t="str">
        <f t="shared" si="170"/>
        <v>NA</v>
      </c>
      <c r="CG112" s="59" t="str">
        <f t="shared" ca="1" si="171"/>
        <v>NA</v>
      </c>
      <c r="CH112" s="59" t="str">
        <f t="shared" ca="1" si="172"/>
        <v>NA</v>
      </c>
      <c r="CI112" s="59" t="str">
        <f t="shared" ca="1" si="173"/>
        <v>DE 11 A 15 DIAS</v>
      </c>
      <c r="CJ112" s="59" t="str">
        <f t="shared" ca="1" si="174"/>
        <v>DE 11 A 15 DIAS</v>
      </c>
      <c r="CK112" s="59" t="str">
        <f t="shared" ca="1" si="175"/>
        <v>DE 11 A 15 DIAS</v>
      </c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>
        <f t="shared" si="186"/>
        <v>0</v>
      </c>
      <c r="DH112" s="8">
        <f t="shared" si="187"/>
        <v>0</v>
      </c>
      <c r="DI112" s="8">
        <f t="shared" si="188"/>
        <v>0</v>
      </c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59" t="str">
        <f t="shared" si="189"/>
        <v>NA</v>
      </c>
      <c r="DU112" s="59" t="str">
        <f t="shared" si="190"/>
        <v>NA</v>
      </c>
      <c r="DV112" s="59" t="str">
        <f t="shared" si="191"/>
        <v>NA</v>
      </c>
      <c r="DW112" s="59" t="str">
        <f t="shared" si="192"/>
        <v>NA</v>
      </c>
      <c r="DX112" s="59" t="str">
        <f t="shared" si="193"/>
        <v>NA</v>
      </c>
      <c r="DY112" s="59" t="str">
        <f t="shared" si="194"/>
        <v>NA</v>
      </c>
      <c r="DZ112" s="59" t="str">
        <f t="shared" si="195"/>
        <v>NA</v>
      </c>
      <c r="EA112" s="59" t="str">
        <f t="shared" si="196"/>
        <v>NA</v>
      </c>
      <c r="EB112" s="59" t="str">
        <f t="shared" si="197"/>
        <v>NA</v>
      </c>
      <c r="EC112" s="59" t="str">
        <f t="shared" si="198"/>
        <v>NA</v>
      </c>
      <c r="ED112" s="59" t="str">
        <f t="shared" si="199"/>
        <v/>
      </c>
      <c r="EE112" s="59" t="str">
        <f t="shared" si="200"/>
        <v/>
      </c>
      <c r="EF112" s="59" t="str">
        <f t="shared" si="201"/>
        <v/>
      </c>
      <c r="EG112" s="59" t="str">
        <f t="shared" si="202"/>
        <v/>
      </c>
      <c r="EH112" s="59" t="str">
        <f t="shared" si="203"/>
        <v/>
      </c>
      <c r="EI112" s="59" t="str">
        <f t="shared" si="204"/>
        <v/>
      </c>
      <c r="EJ112" s="59" t="str">
        <f t="shared" si="205"/>
        <v/>
      </c>
      <c r="EK112" s="59" t="str">
        <f t="shared" si="206"/>
        <v/>
      </c>
      <c r="EL112" s="59" t="str">
        <f t="shared" si="207"/>
        <v/>
      </c>
      <c r="EM112" s="59" t="str">
        <f t="shared" si="208"/>
        <v/>
      </c>
      <c r="EN112" s="59" t="str">
        <f t="shared" si="209"/>
        <v/>
      </c>
      <c r="EO112" s="59" t="str">
        <f t="shared" si="210"/>
        <v/>
      </c>
      <c r="EP112" s="59" t="str">
        <f t="shared" si="211"/>
        <v/>
      </c>
      <c r="EQ112" s="59" t="str">
        <f t="shared" si="212"/>
        <v/>
      </c>
      <c r="ER112" s="59" t="str">
        <f t="shared" si="213"/>
        <v/>
      </c>
      <c r="ES112" s="59" t="str">
        <f t="shared" si="214"/>
        <v/>
      </c>
      <c r="ET112" s="59" t="str">
        <f t="shared" si="215"/>
        <v/>
      </c>
      <c r="EU112" s="59" t="str">
        <f t="shared" si="216"/>
        <v/>
      </c>
      <c r="EV112" s="59" t="str">
        <f t="shared" si="217"/>
        <v/>
      </c>
      <c r="EW112" s="59" t="str">
        <f t="shared" si="218"/>
        <v/>
      </c>
      <c r="EX112" s="56">
        <f t="shared" si="176"/>
        <v>1126000</v>
      </c>
    </row>
    <row r="113" spans="1:154" x14ac:dyDescent="0.25">
      <c r="A113" s="2">
        <f t="shared" si="219"/>
        <v>112</v>
      </c>
      <c r="B113" s="2" t="s">
        <v>6</v>
      </c>
      <c r="C113" s="2" t="str">
        <f t="shared" si="177"/>
        <v>020719</v>
      </c>
      <c r="D113" s="2">
        <v>2</v>
      </c>
      <c r="E113" s="2">
        <v>7</v>
      </c>
      <c r="F113" s="2">
        <v>19</v>
      </c>
      <c r="G113" s="14" t="s">
        <v>15</v>
      </c>
      <c r="H113" s="130"/>
      <c r="I113" s="42" t="s">
        <v>58</v>
      </c>
      <c r="J113" s="15">
        <v>80</v>
      </c>
      <c r="K113" s="15"/>
      <c r="L113" s="10" t="s">
        <v>8</v>
      </c>
      <c r="M113" s="23" t="s">
        <v>177</v>
      </c>
      <c r="N113" s="7">
        <f t="shared" si="220"/>
        <v>1135000</v>
      </c>
      <c r="O113" s="8">
        <v>151</v>
      </c>
      <c r="P113" s="25">
        <v>41197</v>
      </c>
      <c r="Q113" s="8" t="str">
        <f t="shared" si="178"/>
        <v>2DA-OCT</v>
      </c>
      <c r="R113" s="26">
        <v>0.1</v>
      </c>
      <c r="S113" s="41" t="s">
        <v>34</v>
      </c>
      <c r="T113" s="8" t="s">
        <v>353</v>
      </c>
      <c r="U113" s="8"/>
      <c r="V113" s="7">
        <v>567500</v>
      </c>
      <c r="W113" s="7">
        <f t="shared" si="292"/>
        <v>357525</v>
      </c>
      <c r="X113" s="7">
        <f t="shared" si="179"/>
        <v>209975</v>
      </c>
      <c r="Y113" s="7">
        <v>0</v>
      </c>
      <c r="Z113" s="7">
        <f t="shared" si="180"/>
        <v>357525</v>
      </c>
      <c r="AA113" s="148" t="str">
        <f t="shared" si="181"/>
        <v>65%</v>
      </c>
      <c r="AB113" s="148">
        <f t="shared" si="182"/>
        <v>0.35</v>
      </c>
      <c r="AC113" s="25">
        <f ca="1">TODAY()-19</f>
        <v>41103</v>
      </c>
      <c r="AD113" s="25">
        <f t="shared" ref="AD113:AE113" ca="1" si="301">TODAY()-19</f>
        <v>41103</v>
      </c>
      <c r="AE113" s="25">
        <f t="shared" ca="1" si="301"/>
        <v>41103</v>
      </c>
      <c r="AF113" s="8"/>
      <c r="AG113" s="59" t="str">
        <f t="shared" ca="1" si="183"/>
        <v>NA</v>
      </c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59" t="str">
        <f t="shared" si="228"/>
        <v>NA</v>
      </c>
      <c r="AS113" s="59" t="str">
        <f t="shared" si="229"/>
        <v/>
      </c>
      <c r="AT113" s="59"/>
      <c r="AU113" s="59" t="str">
        <f t="shared" si="162"/>
        <v>ND</v>
      </c>
      <c r="AV113" s="66"/>
      <c r="AW113" s="66"/>
      <c r="AX113" s="66"/>
      <c r="AY113" s="66"/>
      <c r="AZ113" s="8"/>
      <c r="BA113" s="8" t="s">
        <v>37</v>
      </c>
      <c r="BB113" s="8"/>
      <c r="BC113" s="8"/>
      <c r="BD113" s="8"/>
      <c r="BE113" s="8"/>
      <c r="BF113" s="8"/>
      <c r="BG113" s="8"/>
      <c r="BH113" s="8"/>
      <c r="BI113" s="8"/>
      <c r="BJ113" s="8"/>
      <c r="BK113" s="59"/>
      <c r="BL113" s="59"/>
      <c r="BM113" s="59"/>
      <c r="BN113" s="164">
        <v>0.01</v>
      </c>
      <c r="BO113" s="165">
        <f t="shared" si="184"/>
        <v>3783.3333333333335</v>
      </c>
      <c r="BP113" s="165">
        <f t="shared" ref="BP113:BQ113" si="302">BO113</f>
        <v>3783.3333333333335</v>
      </c>
      <c r="BQ113" s="165">
        <f t="shared" si="302"/>
        <v>3783.3333333333335</v>
      </c>
      <c r="BR113" s="59"/>
      <c r="BS113" s="59"/>
      <c r="BT113" s="59"/>
      <c r="BU113" s="59"/>
      <c r="BV113" s="59" t="str">
        <f t="shared" si="223"/>
        <v>ND</v>
      </c>
      <c r="BW113" s="59" t="str">
        <f t="shared" si="224"/>
        <v>ND</v>
      </c>
      <c r="BX113" s="59" t="str">
        <f t="shared" si="225"/>
        <v>ND</v>
      </c>
      <c r="BY113" s="59" t="str">
        <f t="shared" si="226"/>
        <v>ND</v>
      </c>
      <c r="BZ113" s="59" t="str">
        <f t="shared" si="164"/>
        <v>NA</v>
      </c>
      <c r="CA113" s="59" t="str">
        <f t="shared" si="165"/>
        <v/>
      </c>
      <c r="CB113" s="59" t="str">
        <f t="shared" si="166"/>
        <v>NA</v>
      </c>
      <c r="CC113" s="59" t="str">
        <f t="shared" si="167"/>
        <v/>
      </c>
      <c r="CD113" s="59" t="str">
        <f t="shared" si="168"/>
        <v>NA</v>
      </c>
      <c r="CE113" s="59" t="str">
        <f t="shared" si="169"/>
        <v/>
      </c>
      <c r="CF113" s="59" t="str">
        <f t="shared" si="170"/>
        <v>NA</v>
      </c>
      <c r="CG113" s="59" t="str">
        <f t="shared" ca="1" si="171"/>
        <v>NA</v>
      </c>
      <c r="CH113" s="59" t="str">
        <f t="shared" ca="1" si="172"/>
        <v>NA</v>
      </c>
      <c r="CI113" s="59" t="str">
        <f t="shared" ca="1" si="173"/>
        <v>DE 16 A 20 DIAS</v>
      </c>
      <c r="CJ113" s="59" t="str">
        <f t="shared" ca="1" si="174"/>
        <v>DE 16 A 20 DIAS</v>
      </c>
      <c r="CK113" s="59" t="str">
        <f t="shared" ca="1" si="175"/>
        <v>DE 16 A 20 DIAS</v>
      </c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>
        <f t="shared" si="186"/>
        <v>0</v>
      </c>
      <c r="DH113" s="8">
        <f t="shared" si="187"/>
        <v>0</v>
      </c>
      <c r="DI113" s="8">
        <f t="shared" si="188"/>
        <v>0</v>
      </c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59" t="str">
        <f t="shared" si="189"/>
        <v>NA</v>
      </c>
      <c r="DU113" s="59" t="str">
        <f t="shared" si="190"/>
        <v>NA</v>
      </c>
      <c r="DV113" s="59" t="str">
        <f t="shared" si="191"/>
        <v>NA</v>
      </c>
      <c r="DW113" s="59" t="str">
        <f t="shared" si="192"/>
        <v>NA</v>
      </c>
      <c r="DX113" s="59" t="str">
        <f t="shared" si="193"/>
        <v>NA</v>
      </c>
      <c r="DY113" s="59" t="str">
        <f t="shared" si="194"/>
        <v>NA</v>
      </c>
      <c r="DZ113" s="59" t="str">
        <f t="shared" si="195"/>
        <v>NA</v>
      </c>
      <c r="EA113" s="59" t="str">
        <f t="shared" si="196"/>
        <v>NA</v>
      </c>
      <c r="EB113" s="59" t="str">
        <f t="shared" si="197"/>
        <v>NA</v>
      </c>
      <c r="EC113" s="59" t="str">
        <f t="shared" si="198"/>
        <v>NA</v>
      </c>
      <c r="ED113" s="59" t="str">
        <f t="shared" si="199"/>
        <v/>
      </c>
      <c r="EE113" s="59" t="str">
        <f t="shared" si="200"/>
        <v/>
      </c>
      <c r="EF113" s="59" t="str">
        <f t="shared" si="201"/>
        <v/>
      </c>
      <c r="EG113" s="59" t="str">
        <f t="shared" si="202"/>
        <v/>
      </c>
      <c r="EH113" s="59" t="str">
        <f t="shared" si="203"/>
        <v/>
      </c>
      <c r="EI113" s="59" t="str">
        <f t="shared" si="204"/>
        <v/>
      </c>
      <c r="EJ113" s="59" t="str">
        <f t="shared" si="205"/>
        <v/>
      </c>
      <c r="EK113" s="59" t="str">
        <f t="shared" si="206"/>
        <v/>
      </c>
      <c r="EL113" s="59" t="str">
        <f t="shared" si="207"/>
        <v/>
      </c>
      <c r="EM113" s="59" t="str">
        <f t="shared" si="208"/>
        <v/>
      </c>
      <c r="EN113" s="59" t="str">
        <f t="shared" si="209"/>
        <v/>
      </c>
      <c r="EO113" s="59" t="str">
        <f t="shared" si="210"/>
        <v/>
      </c>
      <c r="EP113" s="59" t="str">
        <f t="shared" si="211"/>
        <v/>
      </c>
      <c r="EQ113" s="59" t="str">
        <f t="shared" si="212"/>
        <v/>
      </c>
      <c r="ER113" s="59" t="str">
        <f t="shared" si="213"/>
        <v/>
      </c>
      <c r="ES113" s="59" t="str">
        <f t="shared" si="214"/>
        <v/>
      </c>
      <c r="ET113" s="59" t="str">
        <f t="shared" si="215"/>
        <v/>
      </c>
      <c r="EU113" s="59" t="str">
        <f t="shared" si="216"/>
        <v/>
      </c>
      <c r="EV113" s="59" t="str">
        <f t="shared" si="217"/>
        <v/>
      </c>
      <c r="EW113" s="59" t="str">
        <f t="shared" si="218"/>
        <v/>
      </c>
      <c r="EX113" s="56">
        <f t="shared" si="176"/>
        <v>1135000</v>
      </c>
    </row>
    <row r="114" spans="1:154" x14ac:dyDescent="0.25">
      <c r="A114" s="2">
        <f t="shared" si="219"/>
        <v>113</v>
      </c>
      <c r="B114" s="2" t="s">
        <v>6</v>
      </c>
      <c r="C114" s="2" t="str">
        <f t="shared" si="177"/>
        <v>020720</v>
      </c>
      <c r="D114" s="2">
        <v>2</v>
      </c>
      <c r="E114" s="2">
        <v>7</v>
      </c>
      <c r="F114" s="2">
        <v>20</v>
      </c>
      <c r="G114" s="14" t="s">
        <v>15</v>
      </c>
      <c r="H114" s="130"/>
      <c r="I114" s="42" t="s">
        <v>58</v>
      </c>
      <c r="J114" s="15">
        <v>80</v>
      </c>
      <c r="K114" s="156"/>
      <c r="L114" s="6" t="s">
        <v>306</v>
      </c>
      <c r="M114" s="23" t="s">
        <v>177</v>
      </c>
      <c r="N114" s="7">
        <f t="shared" si="220"/>
        <v>1126000</v>
      </c>
      <c r="O114" s="8">
        <v>152</v>
      </c>
      <c r="P114" s="25">
        <v>41197</v>
      </c>
      <c r="Q114" s="8" t="str">
        <f t="shared" si="178"/>
        <v>2DA-OCT</v>
      </c>
      <c r="R114" s="26">
        <v>0.1</v>
      </c>
      <c r="S114" s="41" t="s">
        <v>34</v>
      </c>
      <c r="T114" s="8" t="s">
        <v>353</v>
      </c>
      <c r="U114" s="8"/>
      <c r="V114" s="7">
        <v>563000</v>
      </c>
      <c r="W114" s="7">
        <f t="shared" si="292"/>
        <v>354690</v>
      </c>
      <c r="X114" s="7">
        <f t="shared" si="179"/>
        <v>208310</v>
      </c>
      <c r="Y114" s="7">
        <v>0</v>
      </c>
      <c r="Z114" s="7">
        <f t="shared" si="180"/>
        <v>354690</v>
      </c>
      <c r="AA114" s="148" t="str">
        <f t="shared" si="181"/>
        <v>65%</v>
      </c>
      <c r="AB114" s="148">
        <f t="shared" si="182"/>
        <v>0.35</v>
      </c>
      <c r="AC114" s="25">
        <f ca="1">TODAY()-25</f>
        <v>41097</v>
      </c>
      <c r="AD114" s="25">
        <f t="shared" ref="AD114:AE114" ca="1" si="303">TODAY()-25</f>
        <v>41097</v>
      </c>
      <c r="AE114" s="25">
        <f t="shared" ca="1" si="303"/>
        <v>41097</v>
      </c>
      <c r="AF114" s="8"/>
      <c r="AG114" s="59" t="str">
        <f t="shared" ca="1" si="183"/>
        <v>NA</v>
      </c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59" t="str">
        <f t="shared" si="228"/>
        <v>NA</v>
      </c>
      <c r="AS114" s="59" t="str">
        <f t="shared" si="229"/>
        <v/>
      </c>
      <c r="AT114" s="59"/>
      <c r="AU114" s="59" t="str">
        <f t="shared" si="162"/>
        <v>ND</v>
      </c>
      <c r="AV114" s="66"/>
      <c r="AW114" s="66"/>
      <c r="AX114" s="66"/>
      <c r="AY114" s="66"/>
      <c r="AZ114" s="8"/>
      <c r="BA114" s="8" t="s">
        <v>37</v>
      </c>
      <c r="BB114" s="8"/>
      <c r="BC114" s="8"/>
      <c r="BD114" s="8"/>
      <c r="BE114" s="8"/>
      <c r="BF114" s="8"/>
      <c r="BG114" s="8"/>
      <c r="BH114" s="8"/>
      <c r="BI114" s="8"/>
      <c r="BJ114" s="8"/>
      <c r="BK114" s="59"/>
      <c r="BL114" s="59"/>
      <c r="BM114" s="59"/>
      <c r="BN114" s="164">
        <v>0.01</v>
      </c>
      <c r="BO114" s="165">
        <f t="shared" si="184"/>
        <v>3753.3333333333335</v>
      </c>
      <c r="BP114" s="165">
        <f t="shared" ref="BP114:BQ114" si="304">BO114</f>
        <v>3753.3333333333335</v>
      </c>
      <c r="BQ114" s="165">
        <f t="shared" si="304"/>
        <v>3753.3333333333335</v>
      </c>
      <c r="BR114" s="59"/>
      <c r="BS114" s="59"/>
      <c r="BT114" s="59"/>
      <c r="BU114" s="59"/>
      <c r="BV114" s="59" t="str">
        <f t="shared" si="223"/>
        <v>ND</v>
      </c>
      <c r="BW114" s="59" t="str">
        <f t="shared" si="224"/>
        <v>ND</v>
      </c>
      <c r="BX114" s="59" t="str">
        <f t="shared" si="225"/>
        <v>ND</v>
      </c>
      <c r="BY114" s="59" t="str">
        <f t="shared" si="226"/>
        <v>ND</v>
      </c>
      <c r="BZ114" s="59" t="str">
        <f t="shared" si="164"/>
        <v>NA</v>
      </c>
      <c r="CA114" s="59" t="str">
        <f t="shared" si="165"/>
        <v/>
      </c>
      <c r="CB114" s="59" t="str">
        <f t="shared" si="166"/>
        <v>NA</v>
      </c>
      <c r="CC114" s="59" t="str">
        <f t="shared" si="167"/>
        <v/>
      </c>
      <c r="CD114" s="59" t="str">
        <f t="shared" si="168"/>
        <v>NA</v>
      </c>
      <c r="CE114" s="59" t="str">
        <f t="shared" si="169"/>
        <v/>
      </c>
      <c r="CF114" s="59" t="str">
        <f t="shared" si="170"/>
        <v>NA</v>
      </c>
      <c r="CG114" s="59" t="str">
        <f t="shared" ca="1" si="171"/>
        <v>NA</v>
      </c>
      <c r="CH114" s="59" t="str">
        <f t="shared" ca="1" si="172"/>
        <v>NA</v>
      </c>
      <c r="CI114" s="59" t="str">
        <f t="shared" ca="1" si="173"/>
        <v>DE 21 A 25 DIAS</v>
      </c>
      <c r="CJ114" s="59" t="str">
        <f t="shared" ca="1" si="174"/>
        <v>DE 21 A 25 DIAS</v>
      </c>
      <c r="CK114" s="59" t="str">
        <f t="shared" ca="1" si="175"/>
        <v>DE 21 A 25 DIAS</v>
      </c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>
        <f t="shared" si="186"/>
        <v>0</v>
      </c>
      <c r="DH114" s="8">
        <f t="shared" si="187"/>
        <v>0</v>
      </c>
      <c r="DI114" s="8">
        <f t="shared" si="188"/>
        <v>0</v>
      </c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59" t="str">
        <f t="shared" si="189"/>
        <v>NA</v>
      </c>
      <c r="DU114" s="59" t="str">
        <f t="shared" si="190"/>
        <v>NA</v>
      </c>
      <c r="DV114" s="59" t="str">
        <f t="shared" si="191"/>
        <v>NA</v>
      </c>
      <c r="DW114" s="59" t="str">
        <f t="shared" si="192"/>
        <v>NA</v>
      </c>
      <c r="DX114" s="59" t="str">
        <f t="shared" si="193"/>
        <v>NA</v>
      </c>
      <c r="DY114" s="59" t="str">
        <f t="shared" si="194"/>
        <v>NA</v>
      </c>
      <c r="DZ114" s="59" t="str">
        <f t="shared" si="195"/>
        <v>NA</v>
      </c>
      <c r="EA114" s="59" t="str">
        <f t="shared" si="196"/>
        <v>NA</v>
      </c>
      <c r="EB114" s="59" t="str">
        <f t="shared" si="197"/>
        <v>NA</v>
      </c>
      <c r="EC114" s="59" t="str">
        <f t="shared" si="198"/>
        <v>NA</v>
      </c>
      <c r="ED114" s="59" t="str">
        <f t="shared" si="199"/>
        <v/>
      </c>
      <c r="EE114" s="59" t="str">
        <f t="shared" si="200"/>
        <v/>
      </c>
      <c r="EF114" s="59" t="str">
        <f t="shared" si="201"/>
        <v/>
      </c>
      <c r="EG114" s="59" t="str">
        <f t="shared" si="202"/>
        <v/>
      </c>
      <c r="EH114" s="59" t="str">
        <f t="shared" si="203"/>
        <v/>
      </c>
      <c r="EI114" s="59" t="str">
        <f t="shared" si="204"/>
        <v/>
      </c>
      <c r="EJ114" s="59" t="str">
        <f t="shared" si="205"/>
        <v/>
      </c>
      <c r="EK114" s="59" t="str">
        <f t="shared" si="206"/>
        <v/>
      </c>
      <c r="EL114" s="59" t="str">
        <f t="shared" si="207"/>
        <v/>
      </c>
      <c r="EM114" s="59" t="str">
        <f t="shared" si="208"/>
        <v/>
      </c>
      <c r="EN114" s="59" t="str">
        <f t="shared" si="209"/>
        <v/>
      </c>
      <c r="EO114" s="59" t="str">
        <f t="shared" si="210"/>
        <v/>
      </c>
      <c r="EP114" s="59" t="str">
        <f t="shared" si="211"/>
        <v/>
      </c>
      <c r="EQ114" s="59" t="str">
        <f t="shared" si="212"/>
        <v/>
      </c>
      <c r="ER114" s="59" t="str">
        <f t="shared" si="213"/>
        <v/>
      </c>
      <c r="ES114" s="59" t="str">
        <f t="shared" si="214"/>
        <v/>
      </c>
      <c r="ET114" s="59" t="str">
        <f t="shared" si="215"/>
        <v/>
      </c>
      <c r="EU114" s="59" t="str">
        <f t="shared" si="216"/>
        <v/>
      </c>
      <c r="EV114" s="59" t="str">
        <f t="shared" si="217"/>
        <v/>
      </c>
      <c r="EW114" s="59" t="str">
        <f t="shared" si="218"/>
        <v/>
      </c>
      <c r="EX114" s="56">
        <f t="shared" si="176"/>
        <v>1126000</v>
      </c>
    </row>
    <row r="115" spans="1:154" x14ac:dyDescent="0.25">
      <c r="A115" s="2">
        <f t="shared" si="219"/>
        <v>114</v>
      </c>
      <c r="B115" s="2" t="s">
        <v>6</v>
      </c>
      <c r="C115" s="2" t="str">
        <f t="shared" si="177"/>
        <v>020721</v>
      </c>
      <c r="D115" s="2">
        <v>2</v>
      </c>
      <c r="E115" s="2">
        <v>7</v>
      </c>
      <c r="F115" s="2">
        <v>21</v>
      </c>
      <c r="G115" s="14" t="s">
        <v>15</v>
      </c>
      <c r="H115" s="130"/>
      <c r="I115" s="42" t="s">
        <v>58</v>
      </c>
      <c r="J115" s="15">
        <v>80</v>
      </c>
      <c r="K115" s="156"/>
      <c r="L115" s="6" t="s">
        <v>306</v>
      </c>
      <c r="M115" s="23" t="s">
        <v>177</v>
      </c>
      <c r="N115" s="7">
        <f t="shared" si="220"/>
        <v>1126000</v>
      </c>
      <c r="O115" s="8">
        <v>153</v>
      </c>
      <c r="P115" s="25">
        <v>41197</v>
      </c>
      <c r="Q115" s="8" t="str">
        <f t="shared" si="178"/>
        <v>2DA-OCT</v>
      </c>
      <c r="R115" s="26">
        <v>0.1</v>
      </c>
      <c r="S115" s="41" t="s">
        <v>34</v>
      </c>
      <c r="T115" s="8" t="s">
        <v>353</v>
      </c>
      <c r="U115" s="8"/>
      <c r="V115" s="7">
        <v>563000</v>
      </c>
      <c r="W115" s="7">
        <f t="shared" si="292"/>
        <v>354690</v>
      </c>
      <c r="X115" s="7">
        <f t="shared" si="179"/>
        <v>208310</v>
      </c>
      <c r="Y115" s="7">
        <v>0</v>
      </c>
      <c r="Z115" s="7">
        <f t="shared" si="180"/>
        <v>354690</v>
      </c>
      <c r="AA115" s="148" t="str">
        <f t="shared" si="181"/>
        <v>65%</v>
      </c>
      <c r="AB115" s="148">
        <f t="shared" si="182"/>
        <v>0.35</v>
      </c>
      <c r="AC115" s="25">
        <f ca="1">TODAY()-29</f>
        <v>41093</v>
      </c>
      <c r="AD115" s="25">
        <f t="shared" ref="AD115:AE115" ca="1" si="305">TODAY()-29</f>
        <v>41093</v>
      </c>
      <c r="AE115" s="25">
        <f t="shared" ca="1" si="305"/>
        <v>41093</v>
      </c>
      <c r="AF115" s="8"/>
      <c r="AG115" s="59" t="str">
        <f t="shared" ca="1" si="183"/>
        <v>NA</v>
      </c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59" t="str">
        <f t="shared" si="228"/>
        <v>NA</v>
      </c>
      <c r="AS115" s="59" t="str">
        <f t="shared" si="229"/>
        <v/>
      </c>
      <c r="AT115" s="59"/>
      <c r="AU115" s="59" t="str">
        <f t="shared" si="162"/>
        <v>ND</v>
      </c>
      <c r="AV115" s="66"/>
      <c r="AW115" s="66"/>
      <c r="AX115" s="66"/>
      <c r="AY115" s="66"/>
      <c r="AZ115" s="8"/>
      <c r="BA115" s="8" t="s">
        <v>37</v>
      </c>
      <c r="BB115" s="8"/>
      <c r="BC115" s="8"/>
      <c r="BD115" s="8"/>
      <c r="BE115" s="8"/>
      <c r="BF115" s="8"/>
      <c r="BG115" s="8"/>
      <c r="BH115" s="8"/>
      <c r="BI115" s="8"/>
      <c r="BJ115" s="8"/>
      <c r="BK115" s="59"/>
      <c r="BL115" s="59"/>
      <c r="BM115" s="59"/>
      <c r="BN115" s="164">
        <v>0.01</v>
      </c>
      <c r="BO115" s="165">
        <f t="shared" si="184"/>
        <v>3753.3333333333335</v>
      </c>
      <c r="BP115" s="165">
        <f t="shared" ref="BP115:BQ115" si="306">BO115</f>
        <v>3753.3333333333335</v>
      </c>
      <c r="BQ115" s="165">
        <f t="shared" si="306"/>
        <v>3753.3333333333335</v>
      </c>
      <c r="BR115" s="59"/>
      <c r="BS115" s="59"/>
      <c r="BT115" s="59"/>
      <c r="BU115" s="59"/>
      <c r="BV115" s="59" t="str">
        <f t="shared" si="223"/>
        <v>ND</v>
      </c>
      <c r="BW115" s="59" t="str">
        <f t="shared" si="224"/>
        <v>ND</v>
      </c>
      <c r="BX115" s="59" t="str">
        <f t="shared" si="225"/>
        <v>ND</v>
      </c>
      <c r="BY115" s="59" t="str">
        <f t="shared" si="226"/>
        <v>ND</v>
      </c>
      <c r="BZ115" s="59" t="str">
        <f t="shared" si="164"/>
        <v>NA</v>
      </c>
      <c r="CA115" s="59" t="str">
        <f t="shared" si="165"/>
        <v/>
      </c>
      <c r="CB115" s="59" t="str">
        <f t="shared" si="166"/>
        <v>NA</v>
      </c>
      <c r="CC115" s="59" t="str">
        <f t="shared" si="167"/>
        <v/>
      </c>
      <c r="CD115" s="59" t="str">
        <f t="shared" si="168"/>
        <v>NA</v>
      </c>
      <c r="CE115" s="59" t="str">
        <f t="shared" si="169"/>
        <v/>
      </c>
      <c r="CF115" s="59" t="str">
        <f t="shared" si="170"/>
        <v>NA</v>
      </c>
      <c r="CG115" s="59" t="str">
        <f t="shared" ca="1" si="171"/>
        <v>NA</v>
      </c>
      <c r="CH115" s="59" t="str">
        <f t="shared" ca="1" si="172"/>
        <v>NA</v>
      </c>
      <c r="CI115" s="59" t="str">
        <f t="shared" ca="1" si="173"/>
        <v>DE 26 A 29 DIAS</v>
      </c>
      <c r="CJ115" s="59" t="str">
        <f t="shared" ca="1" si="174"/>
        <v>DE 26 A 29 DIAS</v>
      </c>
      <c r="CK115" s="59" t="str">
        <f t="shared" ca="1" si="175"/>
        <v>DE 26 A 29 DIAS</v>
      </c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>
        <f t="shared" si="186"/>
        <v>0</v>
      </c>
      <c r="DH115" s="8">
        <f t="shared" si="187"/>
        <v>0</v>
      </c>
      <c r="DI115" s="8">
        <f t="shared" si="188"/>
        <v>0</v>
      </c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59" t="str">
        <f t="shared" si="189"/>
        <v>NA</v>
      </c>
      <c r="DU115" s="59" t="str">
        <f t="shared" si="190"/>
        <v>NA</v>
      </c>
      <c r="DV115" s="59" t="str">
        <f t="shared" si="191"/>
        <v>NA</v>
      </c>
      <c r="DW115" s="59" t="str">
        <f t="shared" si="192"/>
        <v>NA</v>
      </c>
      <c r="DX115" s="59" t="str">
        <f t="shared" si="193"/>
        <v>NA</v>
      </c>
      <c r="DY115" s="59" t="str">
        <f t="shared" si="194"/>
        <v>NA</v>
      </c>
      <c r="DZ115" s="59" t="str">
        <f t="shared" si="195"/>
        <v>NA</v>
      </c>
      <c r="EA115" s="59" t="str">
        <f t="shared" si="196"/>
        <v>NA</v>
      </c>
      <c r="EB115" s="59" t="str">
        <f t="shared" si="197"/>
        <v>NA</v>
      </c>
      <c r="EC115" s="59" t="str">
        <f t="shared" si="198"/>
        <v>NA</v>
      </c>
      <c r="ED115" s="59" t="str">
        <f t="shared" si="199"/>
        <v/>
      </c>
      <c r="EE115" s="59" t="str">
        <f t="shared" si="200"/>
        <v/>
      </c>
      <c r="EF115" s="59" t="str">
        <f t="shared" si="201"/>
        <v/>
      </c>
      <c r="EG115" s="59" t="str">
        <f t="shared" si="202"/>
        <v/>
      </c>
      <c r="EH115" s="59" t="str">
        <f t="shared" si="203"/>
        <v/>
      </c>
      <c r="EI115" s="59" t="str">
        <f t="shared" si="204"/>
        <v/>
      </c>
      <c r="EJ115" s="59" t="str">
        <f t="shared" si="205"/>
        <v/>
      </c>
      <c r="EK115" s="59" t="str">
        <f t="shared" si="206"/>
        <v/>
      </c>
      <c r="EL115" s="59" t="str">
        <f t="shared" si="207"/>
        <v/>
      </c>
      <c r="EM115" s="59" t="str">
        <f t="shared" si="208"/>
        <v/>
      </c>
      <c r="EN115" s="59" t="str">
        <f t="shared" si="209"/>
        <v/>
      </c>
      <c r="EO115" s="59" t="str">
        <f t="shared" si="210"/>
        <v/>
      </c>
      <c r="EP115" s="59" t="str">
        <f t="shared" si="211"/>
        <v/>
      </c>
      <c r="EQ115" s="59" t="str">
        <f t="shared" si="212"/>
        <v/>
      </c>
      <c r="ER115" s="59" t="str">
        <f t="shared" si="213"/>
        <v/>
      </c>
      <c r="ES115" s="59" t="str">
        <f t="shared" si="214"/>
        <v/>
      </c>
      <c r="ET115" s="59" t="str">
        <f t="shared" si="215"/>
        <v/>
      </c>
      <c r="EU115" s="59" t="str">
        <f t="shared" si="216"/>
        <v/>
      </c>
      <c r="EV115" s="59" t="str">
        <f t="shared" si="217"/>
        <v/>
      </c>
      <c r="EW115" s="59" t="str">
        <f t="shared" si="218"/>
        <v/>
      </c>
      <c r="EX115" s="56">
        <f t="shared" si="176"/>
        <v>1126000</v>
      </c>
    </row>
    <row r="116" spans="1:154" x14ac:dyDescent="0.25">
      <c r="A116" s="2">
        <f t="shared" si="219"/>
        <v>115</v>
      </c>
      <c r="B116" s="2" t="s">
        <v>6</v>
      </c>
      <c r="C116" s="2" t="str">
        <f t="shared" si="177"/>
        <v>020722</v>
      </c>
      <c r="D116" s="2">
        <v>2</v>
      </c>
      <c r="E116" s="2">
        <v>7</v>
      </c>
      <c r="F116" s="2">
        <v>22</v>
      </c>
      <c r="G116" s="14" t="s">
        <v>15</v>
      </c>
      <c r="H116" s="130"/>
      <c r="I116" s="42" t="s">
        <v>58</v>
      </c>
      <c r="J116" s="15">
        <v>80</v>
      </c>
      <c r="K116" s="15"/>
      <c r="L116" s="10" t="s">
        <v>8</v>
      </c>
      <c r="M116" s="23" t="s">
        <v>177</v>
      </c>
      <c r="N116" s="7">
        <f t="shared" si="220"/>
        <v>1135000</v>
      </c>
      <c r="O116" s="8">
        <v>154</v>
      </c>
      <c r="P116" s="25">
        <v>41197</v>
      </c>
      <c r="Q116" s="8" t="str">
        <f t="shared" si="178"/>
        <v>2DA-OCT</v>
      </c>
      <c r="R116" s="26">
        <v>0.1</v>
      </c>
      <c r="S116" s="41" t="s">
        <v>34</v>
      </c>
      <c r="T116" s="8" t="s">
        <v>353</v>
      </c>
      <c r="U116" s="8"/>
      <c r="V116" s="7">
        <v>567500</v>
      </c>
      <c r="W116" s="7">
        <f t="shared" si="292"/>
        <v>357525</v>
      </c>
      <c r="X116" s="7">
        <f t="shared" si="179"/>
        <v>209975</v>
      </c>
      <c r="Y116" s="7">
        <v>0</v>
      </c>
      <c r="Z116" s="7">
        <f t="shared" si="180"/>
        <v>357525</v>
      </c>
      <c r="AA116" s="148" t="str">
        <f t="shared" si="181"/>
        <v>65%</v>
      </c>
      <c r="AB116" s="148">
        <f t="shared" si="182"/>
        <v>0.35</v>
      </c>
      <c r="AC116" s="25">
        <f ca="1">TODAY()-30</f>
        <v>41092</v>
      </c>
      <c r="AD116" s="25">
        <f t="shared" ref="AD116:AE116" ca="1" si="307">TODAY()-30</f>
        <v>41092</v>
      </c>
      <c r="AE116" s="25">
        <f t="shared" ca="1" si="307"/>
        <v>41092</v>
      </c>
      <c r="AF116" s="8"/>
      <c r="AG116" s="59" t="str">
        <f t="shared" ca="1" si="183"/>
        <v>NA</v>
      </c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59" t="str">
        <f t="shared" si="228"/>
        <v>NA</v>
      </c>
      <c r="AS116" s="59" t="str">
        <f t="shared" si="229"/>
        <v/>
      </c>
      <c r="AT116" s="59"/>
      <c r="AU116" s="59" t="str">
        <f t="shared" si="162"/>
        <v>ND</v>
      </c>
      <c r="AV116" s="66"/>
      <c r="AW116" s="66"/>
      <c r="AX116" s="66"/>
      <c r="AY116" s="66"/>
      <c r="AZ116" s="8"/>
      <c r="BA116" s="8" t="s">
        <v>37</v>
      </c>
      <c r="BB116" s="8"/>
      <c r="BC116" s="8"/>
      <c r="BD116" s="8"/>
      <c r="BE116" s="8"/>
      <c r="BF116" s="8"/>
      <c r="BG116" s="8"/>
      <c r="BH116" s="8"/>
      <c r="BI116" s="8"/>
      <c r="BJ116" s="8"/>
      <c r="BK116" s="59"/>
      <c r="BL116" s="59"/>
      <c r="BM116" s="59"/>
      <c r="BN116" s="164">
        <v>0.01</v>
      </c>
      <c r="BO116" s="165">
        <f t="shared" si="184"/>
        <v>3783.3333333333335</v>
      </c>
      <c r="BP116" s="165">
        <f t="shared" ref="BP116:BQ116" si="308">BO116</f>
        <v>3783.3333333333335</v>
      </c>
      <c r="BQ116" s="165">
        <f t="shared" si="308"/>
        <v>3783.3333333333335</v>
      </c>
      <c r="BR116" s="59"/>
      <c r="BS116" s="59"/>
      <c r="BT116" s="59"/>
      <c r="BU116" s="59"/>
      <c r="BV116" s="59" t="str">
        <f t="shared" si="223"/>
        <v>ND</v>
      </c>
      <c r="BW116" s="59" t="str">
        <f t="shared" si="224"/>
        <v>ND</v>
      </c>
      <c r="BX116" s="59" t="str">
        <f t="shared" si="225"/>
        <v>ND</v>
      </c>
      <c r="BY116" s="59" t="str">
        <f t="shared" si="226"/>
        <v>ND</v>
      </c>
      <c r="BZ116" s="59" t="str">
        <f t="shared" si="164"/>
        <v>NA</v>
      </c>
      <c r="CA116" s="59" t="str">
        <f t="shared" si="165"/>
        <v/>
      </c>
      <c r="CB116" s="59" t="str">
        <f t="shared" si="166"/>
        <v>NA</v>
      </c>
      <c r="CC116" s="59" t="str">
        <f t="shared" si="167"/>
        <v/>
      </c>
      <c r="CD116" s="59" t="str">
        <f t="shared" si="168"/>
        <v>NA</v>
      </c>
      <c r="CE116" s="59" t="str">
        <f t="shared" si="169"/>
        <v/>
      </c>
      <c r="CF116" s="59" t="str">
        <f t="shared" si="170"/>
        <v>NA</v>
      </c>
      <c r="CG116" s="59" t="str">
        <f t="shared" ca="1" si="171"/>
        <v>NA</v>
      </c>
      <c r="CH116" s="59" t="str">
        <f t="shared" ca="1" si="172"/>
        <v>NA</v>
      </c>
      <c r="CI116" s="59" t="str">
        <f t="shared" ca="1" si="173"/>
        <v>30 DIAS</v>
      </c>
      <c r="CJ116" s="59" t="str">
        <f t="shared" ca="1" si="174"/>
        <v>30 DIAS</v>
      </c>
      <c r="CK116" s="59" t="str">
        <f t="shared" ca="1" si="175"/>
        <v>30 DIAS</v>
      </c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>
        <f t="shared" si="186"/>
        <v>0</v>
      </c>
      <c r="DH116" s="8">
        <f t="shared" si="187"/>
        <v>0</v>
      </c>
      <c r="DI116" s="8">
        <f t="shared" si="188"/>
        <v>0</v>
      </c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59" t="str">
        <f t="shared" si="189"/>
        <v>NA</v>
      </c>
      <c r="DU116" s="59" t="str">
        <f t="shared" si="190"/>
        <v>NA</v>
      </c>
      <c r="DV116" s="59" t="str">
        <f t="shared" si="191"/>
        <v>NA</v>
      </c>
      <c r="DW116" s="59" t="str">
        <f t="shared" si="192"/>
        <v>NA</v>
      </c>
      <c r="DX116" s="59" t="str">
        <f t="shared" si="193"/>
        <v>NA</v>
      </c>
      <c r="DY116" s="59" t="str">
        <f t="shared" si="194"/>
        <v>NA</v>
      </c>
      <c r="DZ116" s="59" t="str">
        <f t="shared" si="195"/>
        <v>NA</v>
      </c>
      <c r="EA116" s="59" t="str">
        <f t="shared" si="196"/>
        <v>NA</v>
      </c>
      <c r="EB116" s="59" t="str">
        <f t="shared" si="197"/>
        <v>NA</v>
      </c>
      <c r="EC116" s="59" t="str">
        <f t="shared" si="198"/>
        <v>NA</v>
      </c>
      <c r="ED116" s="59" t="str">
        <f t="shared" si="199"/>
        <v/>
      </c>
      <c r="EE116" s="59" t="str">
        <f t="shared" si="200"/>
        <v/>
      </c>
      <c r="EF116" s="59" t="str">
        <f t="shared" si="201"/>
        <v/>
      </c>
      <c r="EG116" s="59" t="str">
        <f t="shared" si="202"/>
        <v/>
      </c>
      <c r="EH116" s="59" t="str">
        <f t="shared" si="203"/>
        <v/>
      </c>
      <c r="EI116" s="59" t="str">
        <f t="shared" si="204"/>
        <v/>
      </c>
      <c r="EJ116" s="59" t="str">
        <f t="shared" si="205"/>
        <v/>
      </c>
      <c r="EK116" s="59" t="str">
        <f t="shared" si="206"/>
        <v/>
      </c>
      <c r="EL116" s="59" t="str">
        <f t="shared" si="207"/>
        <v/>
      </c>
      <c r="EM116" s="59" t="str">
        <f t="shared" si="208"/>
        <v/>
      </c>
      <c r="EN116" s="59" t="str">
        <f t="shared" si="209"/>
        <v/>
      </c>
      <c r="EO116" s="59" t="str">
        <f t="shared" si="210"/>
        <v/>
      </c>
      <c r="EP116" s="59" t="str">
        <f t="shared" si="211"/>
        <v/>
      </c>
      <c r="EQ116" s="59" t="str">
        <f t="shared" si="212"/>
        <v/>
      </c>
      <c r="ER116" s="59" t="str">
        <f t="shared" si="213"/>
        <v/>
      </c>
      <c r="ES116" s="59" t="str">
        <f t="shared" si="214"/>
        <v/>
      </c>
      <c r="ET116" s="59" t="str">
        <f t="shared" si="215"/>
        <v/>
      </c>
      <c r="EU116" s="59" t="str">
        <f t="shared" si="216"/>
        <v/>
      </c>
      <c r="EV116" s="59" t="str">
        <f t="shared" si="217"/>
        <v/>
      </c>
      <c r="EW116" s="59" t="str">
        <f t="shared" si="218"/>
        <v/>
      </c>
      <c r="EX116" s="56">
        <f t="shared" si="176"/>
        <v>1135000</v>
      </c>
    </row>
    <row r="117" spans="1:154" x14ac:dyDescent="0.25">
      <c r="A117" s="2">
        <f t="shared" si="219"/>
        <v>116</v>
      </c>
      <c r="B117" s="2" t="s">
        <v>6</v>
      </c>
      <c r="C117" s="2" t="str">
        <f t="shared" si="177"/>
        <v>020723</v>
      </c>
      <c r="D117" s="2">
        <v>2</v>
      </c>
      <c r="E117" s="2">
        <v>7</v>
      </c>
      <c r="F117" s="2">
        <v>23</v>
      </c>
      <c r="G117" s="14" t="s">
        <v>15</v>
      </c>
      <c r="H117" s="130"/>
      <c r="I117" s="42" t="s">
        <v>58</v>
      </c>
      <c r="J117" s="15">
        <v>80</v>
      </c>
      <c r="K117" s="156"/>
      <c r="L117" s="6" t="s">
        <v>306</v>
      </c>
      <c r="M117" s="23" t="s">
        <v>177</v>
      </c>
      <c r="N117" s="7">
        <f t="shared" si="220"/>
        <v>1126000</v>
      </c>
      <c r="O117" s="8">
        <v>155</v>
      </c>
      <c r="P117" s="25">
        <v>41197</v>
      </c>
      <c r="Q117" s="8" t="str">
        <f t="shared" si="178"/>
        <v>2DA-OCT</v>
      </c>
      <c r="R117" s="26">
        <v>0.1</v>
      </c>
      <c r="S117" s="41" t="s">
        <v>34</v>
      </c>
      <c r="T117" s="8" t="s">
        <v>353</v>
      </c>
      <c r="U117" s="8"/>
      <c r="V117" s="7">
        <v>563000</v>
      </c>
      <c r="W117" s="7">
        <f t="shared" si="292"/>
        <v>354690</v>
      </c>
      <c r="X117" s="7">
        <f t="shared" si="179"/>
        <v>208310</v>
      </c>
      <c r="Y117" s="7">
        <v>0</v>
      </c>
      <c r="Z117" s="7">
        <f t="shared" si="180"/>
        <v>354690</v>
      </c>
      <c r="AA117" s="148" t="str">
        <f t="shared" si="181"/>
        <v>65%</v>
      </c>
      <c r="AB117" s="148">
        <f t="shared" si="182"/>
        <v>0.35</v>
      </c>
      <c r="AC117" s="25">
        <f ca="1">TODAY()-34</f>
        <v>41088</v>
      </c>
      <c r="AD117" s="25">
        <f t="shared" ref="AD117:AE117" ca="1" si="309">TODAY()-34</f>
        <v>41088</v>
      </c>
      <c r="AE117" s="25">
        <f t="shared" ca="1" si="309"/>
        <v>41088</v>
      </c>
      <c r="AF117" s="8"/>
      <c r="AG117" s="59" t="str">
        <f t="shared" ca="1" si="183"/>
        <v>NA</v>
      </c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59" t="str">
        <f t="shared" si="228"/>
        <v>NA</v>
      </c>
      <c r="AS117" s="59" t="str">
        <f t="shared" si="229"/>
        <v/>
      </c>
      <c r="AT117" s="59"/>
      <c r="AU117" s="59" t="str">
        <f t="shared" si="162"/>
        <v>ND</v>
      </c>
      <c r="AV117" s="66"/>
      <c r="AW117" s="66"/>
      <c r="AX117" s="66"/>
      <c r="AY117" s="66"/>
      <c r="AZ117" s="8"/>
      <c r="BA117" s="8" t="s">
        <v>37</v>
      </c>
      <c r="BB117" s="8"/>
      <c r="BC117" s="8"/>
      <c r="BD117" s="8"/>
      <c r="BE117" s="8"/>
      <c r="BF117" s="8"/>
      <c r="BG117" s="8"/>
      <c r="BH117" s="8"/>
      <c r="BI117" s="8"/>
      <c r="BJ117" s="8"/>
      <c r="BK117" s="59"/>
      <c r="BL117" s="59"/>
      <c r="BM117" s="59"/>
      <c r="BN117" s="164">
        <v>0.01</v>
      </c>
      <c r="BO117" s="165">
        <f t="shared" si="184"/>
        <v>3753.3333333333335</v>
      </c>
      <c r="BP117" s="165">
        <f t="shared" ref="BP117:BQ117" si="310">BO117</f>
        <v>3753.3333333333335</v>
      </c>
      <c r="BQ117" s="165">
        <f t="shared" si="310"/>
        <v>3753.3333333333335</v>
      </c>
      <c r="BR117" s="59"/>
      <c r="BS117" s="59"/>
      <c r="BT117" s="59"/>
      <c r="BU117" s="59"/>
      <c r="BV117" s="59" t="str">
        <f t="shared" si="223"/>
        <v>ND</v>
      </c>
      <c r="BW117" s="59" t="str">
        <f t="shared" si="224"/>
        <v>ND</v>
      </c>
      <c r="BX117" s="59" t="str">
        <f t="shared" si="225"/>
        <v>ND</v>
      </c>
      <c r="BY117" s="59" t="str">
        <f t="shared" si="226"/>
        <v>ND</v>
      </c>
      <c r="BZ117" s="59" t="str">
        <f t="shared" si="164"/>
        <v>NA</v>
      </c>
      <c r="CA117" s="59" t="str">
        <f t="shared" si="165"/>
        <v/>
      </c>
      <c r="CB117" s="59" t="str">
        <f t="shared" si="166"/>
        <v>NA</v>
      </c>
      <c r="CC117" s="59" t="str">
        <f t="shared" si="167"/>
        <v/>
      </c>
      <c r="CD117" s="59" t="str">
        <f t="shared" si="168"/>
        <v>NA</v>
      </c>
      <c r="CE117" s="59" t="str">
        <f t="shared" si="169"/>
        <v/>
      </c>
      <c r="CF117" s="59" t="str">
        <f t="shared" si="170"/>
        <v>NA</v>
      </c>
      <c r="CG117" s="59" t="str">
        <f t="shared" ca="1" si="171"/>
        <v>NA</v>
      </c>
      <c r="CH117" s="59" t="str">
        <f t="shared" ca="1" si="172"/>
        <v>NA</v>
      </c>
      <c r="CI117" s="59" t="str">
        <f t="shared" ca="1" si="173"/>
        <v>DE 31 A 35 DIAS</v>
      </c>
      <c r="CJ117" s="59" t="str">
        <f t="shared" ca="1" si="174"/>
        <v>DE 31 A 35 DIAS</v>
      </c>
      <c r="CK117" s="59" t="str">
        <f t="shared" ca="1" si="175"/>
        <v>DE 31 A 35 DIAS</v>
      </c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>
        <f t="shared" si="186"/>
        <v>0</v>
      </c>
      <c r="DH117" s="8">
        <f t="shared" si="187"/>
        <v>0</v>
      </c>
      <c r="DI117" s="8">
        <f t="shared" si="188"/>
        <v>0</v>
      </c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59" t="str">
        <f t="shared" si="189"/>
        <v>NA</v>
      </c>
      <c r="DU117" s="59" t="str">
        <f t="shared" si="190"/>
        <v>NA</v>
      </c>
      <c r="DV117" s="59" t="str">
        <f t="shared" si="191"/>
        <v>NA</v>
      </c>
      <c r="DW117" s="59" t="str">
        <f t="shared" si="192"/>
        <v>NA</v>
      </c>
      <c r="DX117" s="59" t="str">
        <f t="shared" si="193"/>
        <v>NA</v>
      </c>
      <c r="DY117" s="59" t="str">
        <f t="shared" si="194"/>
        <v>NA</v>
      </c>
      <c r="DZ117" s="59" t="str">
        <f t="shared" si="195"/>
        <v>NA</v>
      </c>
      <c r="EA117" s="59" t="str">
        <f t="shared" si="196"/>
        <v>NA</v>
      </c>
      <c r="EB117" s="59" t="str">
        <f t="shared" si="197"/>
        <v>NA</v>
      </c>
      <c r="EC117" s="59" t="str">
        <f t="shared" si="198"/>
        <v>NA</v>
      </c>
      <c r="ED117" s="59" t="str">
        <f t="shared" si="199"/>
        <v/>
      </c>
      <c r="EE117" s="59" t="str">
        <f t="shared" si="200"/>
        <v/>
      </c>
      <c r="EF117" s="59" t="str">
        <f t="shared" si="201"/>
        <v/>
      </c>
      <c r="EG117" s="59" t="str">
        <f t="shared" si="202"/>
        <v/>
      </c>
      <c r="EH117" s="59" t="str">
        <f t="shared" si="203"/>
        <v/>
      </c>
      <c r="EI117" s="59" t="str">
        <f t="shared" si="204"/>
        <v/>
      </c>
      <c r="EJ117" s="59" t="str">
        <f t="shared" si="205"/>
        <v/>
      </c>
      <c r="EK117" s="59" t="str">
        <f t="shared" si="206"/>
        <v/>
      </c>
      <c r="EL117" s="59" t="str">
        <f t="shared" si="207"/>
        <v/>
      </c>
      <c r="EM117" s="59" t="str">
        <f t="shared" si="208"/>
        <v/>
      </c>
      <c r="EN117" s="59" t="str">
        <f t="shared" si="209"/>
        <v/>
      </c>
      <c r="EO117" s="59" t="str">
        <f t="shared" si="210"/>
        <v/>
      </c>
      <c r="EP117" s="59" t="str">
        <f t="shared" si="211"/>
        <v/>
      </c>
      <c r="EQ117" s="59" t="str">
        <f t="shared" si="212"/>
        <v/>
      </c>
      <c r="ER117" s="59" t="str">
        <f t="shared" si="213"/>
        <v/>
      </c>
      <c r="ES117" s="59" t="str">
        <f t="shared" si="214"/>
        <v/>
      </c>
      <c r="ET117" s="59" t="str">
        <f t="shared" si="215"/>
        <v/>
      </c>
      <c r="EU117" s="59" t="str">
        <f t="shared" si="216"/>
        <v/>
      </c>
      <c r="EV117" s="59" t="str">
        <f t="shared" si="217"/>
        <v/>
      </c>
      <c r="EW117" s="59" t="str">
        <f t="shared" si="218"/>
        <v/>
      </c>
      <c r="EX117" s="56">
        <f t="shared" si="176"/>
        <v>1126000</v>
      </c>
    </row>
    <row r="118" spans="1:154" x14ac:dyDescent="0.25">
      <c r="A118" s="2">
        <f t="shared" si="219"/>
        <v>117</v>
      </c>
      <c r="B118" s="2" t="s">
        <v>6</v>
      </c>
      <c r="C118" s="2" t="str">
        <f t="shared" si="177"/>
        <v>020724</v>
      </c>
      <c r="D118" s="2">
        <v>2</v>
      </c>
      <c r="E118" s="2">
        <v>7</v>
      </c>
      <c r="F118" s="2">
        <v>24</v>
      </c>
      <c r="G118" s="14" t="s">
        <v>15</v>
      </c>
      <c r="H118" s="130"/>
      <c r="I118" s="42" t="s">
        <v>58</v>
      </c>
      <c r="J118" s="9">
        <v>81.927999999999997</v>
      </c>
      <c r="K118" s="5"/>
      <c r="L118" s="6" t="s">
        <v>306</v>
      </c>
      <c r="M118" s="23" t="s">
        <v>177</v>
      </c>
      <c r="N118" s="7">
        <f t="shared" si="220"/>
        <v>1133326.3999999999</v>
      </c>
      <c r="O118" s="8">
        <v>156</v>
      </c>
      <c r="P118" s="25">
        <v>41197</v>
      </c>
      <c r="Q118" s="8" t="str">
        <f t="shared" si="178"/>
        <v>2DA-OCT</v>
      </c>
      <c r="R118" s="26">
        <v>0.1</v>
      </c>
      <c r="S118" s="41" t="s">
        <v>34</v>
      </c>
      <c r="T118" s="8" t="s">
        <v>353</v>
      </c>
      <c r="U118" s="8"/>
      <c r="V118" s="7">
        <v>566663.19999999995</v>
      </c>
      <c r="W118" s="7">
        <f t="shared" si="292"/>
        <v>356997.81599999999</v>
      </c>
      <c r="X118" s="7">
        <f t="shared" si="179"/>
        <v>209665.38399999996</v>
      </c>
      <c r="Y118" s="7">
        <v>0</v>
      </c>
      <c r="Z118" s="7">
        <f t="shared" si="180"/>
        <v>356997.81599999999</v>
      </c>
      <c r="AA118" s="148" t="str">
        <f t="shared" si="181"/>
        <v>65%</v>
      </c>
      <c r="AB118" s="148">
        <f t="shared" si="182"/>
        <v>0.35</v>
      </c>
      <c r="AC118" s="25">
        <f ca="1">TODAY()-39</f>
        <v>41083</v>
      </c>
      <c r="AD118" s="25">
        <f t="shared" ref="AD118:AE118" ca="1" si="311">TODAY()-39</f>
        <v>41083</v>
      </c>
      <c r="AE118" s="25">
        <f t="shared" ca="1" si="311"/>
        <v>41083</v>
      </c>
      <c r="AF118" s="8"/>
      <c r="AG118" s="59" t="str">
        <f t="shared" ca="1" si="183"/>
        <v>NA</v>
      </c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59" t="str">
        <f t="shared" si="228"/>
        <v>NA</v>
      </c>
      <c r="AS118" s="59" t="str">
        <f t="shared" si="229"/>
        <v/>
      </c>
      <c r="AT118" s="59"/>
      <c r="AU118" s="59" t="str">
        <f t="shared" si="162"/>
        <v>ND</v>
      </c>
      <c r="AV118" s="66"/>
      <c r="AW118" s="66"/>
      <c r="AX118" s="66"/>
      <c r="AY118" s="66"/>
      <c r="AZ118" s="8"/>
      <c r="BA118" s="8" t="s">
        <v>37</v>
      </c>
      <c r="BB118" s="8"/>
      <c r="BC118" s="8"/>
      <c r="BD118" s="8"/>
      <c r="BE118" s="8"/>
      <c r="BF118" s="8"/>
      <c r="BG118" s="8"/>
      <c r="BH118" s="8"/>
      <c r="BI118" s="8"/>
      <c r="BJ118" s="8"/>
      <c r="BK118" s="59"/>
      <c r="BL118" s="59"/>
      <c r="BM118" s="59"/>
      <c r="BN118" s="164">
        <v>0.01</v>
      </c>
      <c r="BO118" s="165">
        <f t="shared" si="184"/>
        <v>3777.7546666666663</v>
      </c>
      <c r="BP118" s="165">
        <f t="shared" ref="BP118:BQ118" si="312">BO118</f>
        <v>3777.7546666666663</v>
      </c>
      <c r="BQ118" s="165">
        <f t="shared" si="312"/>
        <v>3777.7546666666663</v>
      </c>
      <c r="BR118" s="59"/>
      <c r="BS118" s="59"/>
      <c r="BT118" s="59"/>
      <c r="BU118" s="59"/>
      <c r="BV118" s="59" t="str">
        <f t="shared" si="223"/>
        <v>ND</v>
      </c>
      <c r="BW118" s="59" t="str">
        <f t="shared" si="224"/>
        <v>ND</v>
      </c>
      <c r="BX118" s="59" t="str">
        <f t="shared" si="225"/>
        <v>ND</v>
      </c>
      <c r="BY118" s="59" t="str">
        <f t="shared" si="226"/>
        <v>ND</v>
      </c>
      <c r="BZ118" s="59" t="str">
        <f t="shared" si="164"/>
        <v>NA</v>
      </c>
      <c r="CA118" s="59" t="str">
        <f t="shared" si="165"/>
        <v/>
      </c>
      <c r="CB118" s="59" t="str">
        <f t="shared" si="166"/>
        <v>NA</v>
      </c>
      <c r="CC118" s="59" t="str">
        <f t="shared" si="167"/>
        <v/>
      </c>
      <c r="CD118" s="59" t="str">
        <f t="shared" si="168"/>
        <v>NA</v>
      </c>
      <c r="CE118" s="59" t="str">
        <f t="shared" si="169"/>
        <v/>
      </c>
      <c r="CF118" s="59" t="str">
        <f t="shared" si="170"/>
        <v>NA</v>
      </c>
      <c r="CG118" s="59" t="str">
        <f t="shared" ca="1" si="171"/>
        <v>NA</v>
      </c>
      <c r="CH118" s="59" t="str">
        <f t="shared" ca="1" si="172"/>
        <v>NA</v>
      </c>
      <c r="CI118" s="59" t="str">
        <f t="shared" ca="1" si="173"/>
        <v>DE 36 A 45 DIAS</v>
      </c>
      <c r="CJ118" s="59" t="str">
        <f t="shared" ca="1" si="174"/>
        <v>DE 36 A 45 DIAS</v>
      </c>
      <c r="CK118" s="59" t="str">
        <f t="shared" ca="1" si="175"/>
        <v>DE 36 A 45 DIAS</v>
      </c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>
        <f t="shared" si="186"/>
        <v>0</v>
      </c>
      <c r="DH118" s="8">
        <f t="shared" si="187"/>
        <v>0</v>
      </c>
      <c r="DI118" s="8">
        <f t="shared" si="188"/>
        <v>0</v>
      </c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59" t="str">
        <f t="shared" si="189"/>
        <v>NA</v>
      </c>
      <c r="DU118" s="59" t="str">
        <f t="shared" si="190"/>
        <v>NA</v>
      </c>
      <c r="DV118" s="59" t="str">
        <f t="shared" si="191"/>
        <v>NA</v>
      </c>
      <c r="DW118" s="59" t="str">
        <f t="shared" si="192"/>
        <v>NA</v>
      </c>
      <c r="DX118" s="59" t="str">
        <f t="shared" si="193"/>
        <v>NA</v>
      </c>
      <c r="DY118" s="59" t="str">
        <f t="shared" si="194"/>
        <v>NA</v>
      </c>
      <c r="DZ118" s="59" t="str">
        <f t="shared" si="195"/>
        <v>NA</v>
      </c>
      <c r="EA118" s="59" t="str">
        <f t="shared" si="196"/>
        <v>NA</v>
      </c>
      <c r="EB118" s="59" t="str">
        <f t="shared" si="197"/>
        <v>NA</v>
      </c>
      <c r="EC118" s="59" t="str">
        <f t="shared" si="198"/>
        <v>NA</v>
      </c>
      <c r="ED118" s="59" t="str">
        <f t="shared" si="199"/>
        <v/>
      </c>
      <c r="EE118" s="59" t="str">
        <f t="shared" si="200"/>
        <v/>
      </c>
      <c r="EF118" s="59" t="str">
        <f t="shared" si="201"/>
        <v/>
      </c>
      <c r="EG118" s="59" t="str">
        <f t="shared" si="202"/>
        <v/>
      </c>
      <c r="EH118" s="59" t="str">
        <f t="shared" si="203"/>
        <v/>
      </c>
      <c r="EI118" s="59" t="str">
        <f t="shared" si="204"/>
        <v/>
      </c>
      <c r="EJ118" s="59" t="str">
        <f t="shared" si="205"/>
        <v/>
      </c>
      <c r="EK118" s="59" t="str">
        <f t="shared" si="206"/>
        <v/>
      </c>
      <c r="EL118" s="59" t="str">
        <f t="shared" si="207"/>
        <v/>
      </c>
      <c r="EM118" s="59" t="str">
        <f t="shared" si="208"/>
        <v/>
      </c>
      <c r="EN118" s="59" t="str">
        <f t="shared" si="209"/>
        <v/>
      </c>
      <c r="EO118" s="59" t="str">
        <f t="shared" si="210"/>
        <v/>
      </c>
      <c r="EP118" s="59" t="str">
        <f t="shared" si="211"/>
        <v/>
      </c>
      <c r="EQ118" s="59" t="str">
        <f t="shared" si="212"/>
        <v/>
      </c>
      <c r="ER118" s="59" t="str">
        <f t="shared" si="213"/>
        <v/>
      </c>
      <c r="ES118" s="59" t="str">
        <f t="shared" si="214"/>
        <v/>
      </c>
      <c r="ET118" s="59" t="str">
        <f t="shared" si="215"/>
        <v/>
      </c>
      <c r="EU118" s="59" t="str">
        <f t="shared" si="216"/>
        <v/>
      </c>
      <c r="EV118" s="59" t="str">
        <f t="shared" si="217"/>
        <v/>
      </c>
      <c r="EW118" s="59" t="str">
        <f t="shared" si="218"/>
        <v/>
      </c>
      <c r="EX118" s="56">
        <f t="shared" si="176"/>
        <v>1133326.3999999999</v>
      </c>
    </row>
    <row r="119" spans="1:154" x14ac:dyDescent="0.25">
      <c r="A119" s="2">
        <f t="shared" si="219"/>
        <v>118</v>
      </c>
      <c r="B119" s="2" t="s">
        <v>6</v>
      </c>
      <c r="C119" s="2" t="str">
        <f t="shared" si="177"/>
        <v>020801</v>
      </c>
      <c r="D119" s="2">
        <v>2</v>
      </c>
      <c r="E119" s="2">
        <v>8</v>
      </c>
      <c r="F119" s="2">
        <v>1</v>
      </c>
      <c r="G119" s="11" t="s">
        <v>16</v>
      </c>
      <c r="H119" s="4"/>
      <c r="I119" s="42" t="s">
        <v>58</v>
      </c>
      <c r="J119" s="9">
        <v>81.805000000000007</v>
      </c>
      <c r="K119" s="9"/>
      <c r="L119" s="10" t="s">
        <v>8</v>
      </c>
      <c r="M119" s="23" t="s">
        <v>177</v>
      </c>
      <c r="N119" s="7">
        <f t="shared" si="220"/>
        <v>1141859</v>
      </c>
      <c r="O119" s="8">
        <v>157</v>
      </c>
      <c r="P119" s="25">
        <v>41197</v>
      </c>
      <c r="Q119" s="8" t="str">
        <f t="shared" si="178"/>
        <v>2DA-OCT</v>
      </c>
      <c r="R119" s="26">
        <v>0.1</v>
      </c>
      <c r="S119" s="41" t="s">
        <v>34</v>
      </c>
      <c r="T119" s="8" t="s">
        <v>353</v>
      </c>
      <c r="U119" s="8"/>
      <c r="V119" s="7">
        <v>570929.5</v>
      </c>
      <c r="W119" s="7">
        <f>+V119*0.4</f>
        <v>228371.80000000002</v>
      </c>
      <c r="X119" s="7">
        <f t="shared" si="179"/>
        <v>342557.69999999995</v>
      </c>
      <c r="Y119" s="7">
        <v>0</v>
      </c>
      <c r="Z119" s="7">
        <f t="shared" si="180"/>
        <v>228371.80000000002</v>
      </c>
      <c r="AA119" s="148" t="str">
        <f t="shared" si="181"/>
        <v>40%</v>
      </c>
      <c r="AB119" s="148">
        <f t="shared" si="182"/>
        <v>0.6</v>
      </c>
      <c r="AC119" s="25">
        <f ca="1">TODAY()-45</f>
        <v>41077</v>
      </c>
      <c r="AD119" s="25">
        <f t="shared" ref="AD119:AE119" ca="1" si="313">TODAY()-45</f>
        <v>41077</v>
      </c>
      <c r="AE119" s="25">
        <f t="shared" ca="1" si="313"/>
        <v>41077</v>
      </c>
      <c r="AF119" s="8"/>
      <c r="AG119" s="59" t="str">
        <f t="shared" ca="1" si="183"/>
        <v>NA</v>
      </c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59" t="str">
        <f t="shared" si="228"/>
        <v>NA</v>
      </c>
      <c r="AS119" s="59" t="str">
        <f t="shared" si="229"/>
        <v/>
      </c>
      <c r="AT119" s="59"/>
      <c r="AU119" s="59" t="str">
        <f t="shared" si="162"/>
        <v>ND</v>
      </c>
      <c r="AV119" s="66"/>
      <c r="AW119" s="66"/>
      <c r="AX119" s="66"/>
      <c r="AY119" s="66"/>
      <c r="AZ119" s="8"/>
      <c r="BA119" s="8" t="s">
        <v>37</v>
      </c>
      <c r="BB119" s="8"/>
      <c r="BC119" s="8"/>
      <c r="BD119" s="8"/>
      <c r="BE119" s="8"/>
      <c r="BF119" s="8"/>
      <c r="BG119" s="8"/>
      <c r="BH119" s="8"/>
      <c r="BI119" s="8"/>
      <c r="BJ119" s="8"/>
      <c r="BK119" s="59"/>
      <c r="BL119" s="59"/>
      <c r="BM119" s="59"/>
      <c r="BN119" s="164">
        <v>0.01</v>
      </c>
      <c r="BO119" s="165">
        <f t="shared" si="184"/>
        <v>3806.1966666666667</v>
      </c>
      <c r="BP119" s="165">
        <f t="shared" ref="BP119:BQ119" si="314">BO119</f>
        <v>3806.1966666666667</v>
      </c>
      <c r="BQ119" s="165">
        <f t="shared" si="314"/>
        <v>3806.1966666666667</v>
      </c>
      <c r="BR119" s="59"/>
      <c r="BS119" s="59"/>
      <c r="BT119" s="59"/>
      <c r="BU119" s="59"/>
      <c r="BV119" s="59" t="str">
        <f t="shared" si="223"/>
        <v>ND</v>
      </c>
      <c r="BW119" s="59" t="str">
        <f t="shared" si="224"/>
        <v>ND</v>
      </c>
      <c r="BX119" s="59" t="str">
        <f t="shared" si="225"/>
        <v>ND</v>
      </c>
      <c r="BY119" s="59" t="str">
        <f t="shared" si="226"/>
        <v>ND</v>
      </c>
      <c r="BZ119" s="59" t="str">
        <f t="shared" si="164"/>
        <v>NA</v>
      </c>
      <c r="CA119" s="59" t="str">
        <f t="shared" si="165"/>
        <v/>
      </c>
      <c r="CB119" s="59" t="str">
        <f t="shared" si="166"/>
        <v>NA</v>
      </c>
      <c r="CC119" s="59" t="str">
        <f t="shared" si="167"/>
        <v/>
      </c>
      <c r="CD119" s="59" t="str">
        <f t="shared" si="168"/>
        <v>NA</v>
      </c>
      <c r="CE119" s="59" t="str">
        <f t="shared" si="169"/>
        <v/>
      </c>
      <c r="CF119" s="59" t="str">
        <f t="shared" si="170"/>
        <v>NA</v>
      </c>
      <c r="CG119" s="59" t="str">
        <f t="shared" ca="1" si="171"/>
        <v>NA</v>
      </c>
      <c r="CH119" s="59" t="str">
        <f t="shared" ca="1" si="172"/>
        <v>NA</v>
      </c>
      <c r="CI119" s="59" t="str">
        <f t="shared" ca="1" si="173"/>
        <v>DE 36 A 45 DIAS</v>
      </c>
      <c r="CJ119" s="59" t="str">
        <f t="shared" ca="1" si="174"/>
        <v>DE 36 A 45 DIAS</v>
      </c>
      <c r="CK119" s="59" t="str">
        <f t="shared" ca="1" si="175"/>
        <v>DE 36 A 45 DIAS</v>
      </c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>
        <f t="shared" si="186"/>
        <v>0</v>
      </c>
      <c r="DH119" s="8">
        <f t="shared" si="187"/>
        <v>0</v>
      </c>
      <c r="DI119" s="8">
        <f t="shared" si="188"/>
        <v>0</v>
      </c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59" t="str">
        <f t="shared" si="189"/>
        <v>NA</v>
      </c>
      <c r="DU119" s="59" t="str">
        <f t="shared" si="190"/>
        <v>NA</v>
      </c>
      <c r="DV119" s="59" t="str">
        <f t="shared" si="191"/>
        <v>NA</v>
      </c>
      <c r="DW119" s="59" t="str">
        <f t="shared" si="192"/>
        <v>NA</v>
      </c>
      <c r="DX119" s="59" t="str">
        <f t="shared" si="193"/>
        <v>NA</v>
      </c>
      <c r="DY119" s="59" t="str">
        <f t="shared" si="194"/>
        <v>NA</v>
      </c>
      <c r="DZ119" s="59" t="str">
        <f t="shared" si="195"/>
        <v>NA</v>
      </c>
      <c r="EA119" s="59" t="str">
        <f t="shared" si="196"/>
        <v>NA</v>
      </c>
      <c r="EB119" s="59" t="str">
        <f t="shared" si="197"/>
        <v>NA</v>
      </c>
      <c r="EC119" s="59" t="str">
        <f t="shared" si="198"/>
        <v>NA</v>
      </c>
      <c r="ED119" s="59" t="str">
        <f t="shared" si="199"/>
        <v/>
      </c>
      <c r="EE119" s="59" t="str">
        <f t="shared" si="200"/>
        <v/>
      </c>
      <c r="EF119" s="59" t="str">
        <f t="shared" si="201"/>
        <v/>
      </c>
      <c r="EG119" s="59" t="str">
        <f t="shared" si="202"/>
        <v/>
      </c>
      <c r="EH119" s="59" t="str">
        <f t="shared" si="203"/>
        <v/>
      </c>
      <c r="EI119" s="59" t="str">
        <f t="shared" si="204"/>
        <v/>
      </c>
      <c r="EJ119" s="59" t="str">
        <f t="shared" si="205"/>
        <v/>
      </c>
      <c r="EK119" s="59" t="str">
        <f t="shared" si="206"/>
        <v/>
      </c>
      <c r="EL119" s="59" t="str">
        <f t="shared" si="207"/>
        <v/>
      </c>
      <c r="EM119" s="59" t="str">
        <f t="shared" si="208"/>
        <v/>
      </c>
      <c r="EN119" s="59" t="str">
        <f t="shared" si="209"/>
        <v/>
      </c>
      <c r="EO119" s="59" t="str">
        <f t="shared" si="210"/>
        <v/>
      </c>
      <c r="EP119" s="59" t="str">
        <f t="shared" si="211"/>
        <v/>
      </c>
      <c r="EQ119" s="59" t="str">
        <f t="shared" si="212"/>
        <v/>
      </c>
      <c r="ER119" s="59" t="str">
        <f t="shared" si="213"/>
        <v/>
      </c>
      <c r="ES119" s="59" t="str">
        <f t="shared" si="214"/>
        <v/>
      </c>
      <c r="ET119" s="59" t="str">
        <f t="shared" si="215"/>
        <v/>
      </c>
      <c r="EU119" s="59" t="str">
        <f t="shared" si="216"/>
        <v/>
      </c>
      <c r="EV119" s="59" t="str">
        <f t="shared" si="217"/>
        <v/>
      </c>
      <c r="EW119" s="59" t="str">
        <f t="shared" si="218"/>
        <v/>
      </c>
      <c r="EX119" s="56">
        <f t="shared" si="176"/>
        <v>1141859</v>
      </c>
    </row>
    <row r="120" spans="1:154" x14ac:dyDescent="0.25">
      <c r="A120" s="2">
        <f t="shared" si="219"/>
        <v>119</v>
      </c>
      <c r="B120" s="2" t="s">
        <v>6</v>
      </c>
      <c r="C120" s="2" t="str">
        <f t="shared" si="177"/>
        <v>020802</v>
      </c>
      <c r="D120" s="13">
        <v>2</v>
      </c>
      <c r="E120" s="13">
        <v>8</v>
      </c>
      <c r="F120" s="13">
        <v>2</v>
      </c>
      <c r="G120" s="11" t="s">
        <v>16</v>
      </c>
      <c r="H120" s="4"/>
      <c r="I120" s="42" t="s">
        <v>58</v>
      </c>
      <c r="J120" s="15">
        <v>80</v>
      </c>
      <c r="K120" s="156"/>
      <c r="L120" s="6" t="s">
        <v>306</v>
      </c>
      <c r="M120" s="23" t="s">
        <v>177</v>
      </c>
      <c r="N120" s="7">
        <f t="shared" si="220"/>
        <v>1126000</v>
      </c>
      <c r="O120" s="8">
        <v>158</v>
      </c>
      <c r="P120" s="25">
        <v>41212</v>
      </c>
      <c r="Q120" s="8" t="str">
        <f t="shared" si="178"/>
        <v>2DA-OCT</v>
      </c>
      <c r="R120" s="26">
        <v>0.1</v>
      </c>
      <c r="S120" s="41" t="s">
        <v>34</v>
      </c>
      <c r="T120" s="8" t="s">
        <v>353</v>
      </c>
      <c r="U120" s="8"/>
      <c r="V120" s="7">
        <v>563000</v>
      </c>
      <c r="W120" s="7">
        <f t="shared" ref="W120:W129" si="315">+V120*0.4</f>
        <v>225200</v>
      </c>
      <c r="X120" s="7">
        <f t="shared" si="179"/>
        <v>337800</v>
      </c>
      <c r="Y120" s="7">
        <v>0</v>
      </c>
      <c r="Z120" s="7">
        <f t="shared" si="180"/>
        <v>225200</v>
      </c>
      <c r="AA120" s="148" t="str">
        <f t="shared" si="181"/>
        <v>40%</v>
      </c>
      <c r="AB120" s="148">
        <f t="shared" si="182"/>
        <v>0.6</v>
      </c>
      <c r="AC120" s="25">
        <f ca="1">TODAY()-50</f>
        <v>41072</v>
      </c>
      <c r="AD120" s="25">
        <f t="shared" ref="AD120:AE120" ca="1" si="316">TODAY()-50</f>
        <v>41072</v>
      </c>
      <c r="AE120" s="25">
        <f t="shared" ca="1" si="316"/>
        <v>41072</v>
      </c>
      <c r="AF120" s="8"/>
      <c r="AG120" s="59" t="str">
        <f t="shared" ca="1" si="183"/>
        <v>NA</v>
      </c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59" t="str">
        <f t="shared" si="228"/>
        <v>NA</v>
      </c>
      <c r="AS120" s="59" t="str">
        <f t="shared" si="229"/>
        <v/>
      </c>
      <c r="AT120" s="59"/>
      <c r="AU120" s="59" t="str">
        <f t="shared" si="162"/>
        <v>ND</v>
      </c>
      <c r="AV120" s="66"/>
      <c r="AW120" s="66"/>
      <c r="AX120" s="66"/>
      <c r="AY120" s="66"/>
      <c r="AZ120" s="8"/>
      <c r="BA120" s="8" t="s">
        <v>37</v>
      </c>
      <c r="BB120" s="8"/>
      <c r="BC120" s="8"/>
      <c r="BD120" s="8"/>
      <c r="BE120" s="8"/>
      <c r="BF120" s="8"/>
      <c r="BG120" s="8"/>
      <c r="BH120" s="8"/>
      <c r="BI120" s="8"/>
      <c r="BJ120" s="8"/>
      <c r="BK120" s="59"/>
      <c r="BL120" s="59"/>
      <c r="BM120" s="59"/>
      <c r="BN120" s="164">
        <v>0.01</v>
      </c>
      <c r="BO120" s="165">
        <f t="shared" si="184"/>
        <v>3753.3333333333335</v>
      </c>
      <c r="BP120" s="165">
        <f t="shared" ref="BP120:BQ120" si="317">BO120</f>
        <v>3753.3333333333335</v>
      </c>
      <c r="BQ120" s="165">
        <f t="shared" si="317"/>
        <v>3753.3333333333335</v>
      </c>
      <c r="BR120" s="59"/>
      <c r="BS120" s="59"/>
      <c r="BT120" s="59"/>
      <c r="BU120" s="59"/>
      <c r="BV120" s="59" t="str">
        <f t="shared" si="223"/>
        <v>ND</v>
      </c>
      <c r="BW120" s="59" t="str">
        <f t="shared" si="224"/>
        <v>ND</v>
      </c>
      <c r="BX120" s="59" t="str">
        <f t="shared" si="225"/>
        <v>ND</v>
      </c>
      <c r="BY120" s="59" t="str">
        <f t="shared" si="226"/>
        <v>ND</v>
      </c>
      <c r="BZ120" s="59" t="str">
        <f t="shared" si="164"/>
        <v>NA</v>
      </c>
      <c r="CA120" s="59" t="str">
        <f t="shared" si="165"/>
        <v/>
      </c>
      <c r="CB120" s="59" t="str">
        <f t="shared" si="166"/>
        <v>NA</v>
      </c>
      <c r="CC120" s="59" t="str">
        <f t="shared" si="167"/>
        <v/>
      </c>
      <c r="CD120" s="59" t="str">
        <f t="shared" si="168"/>
        <v>NA</v>
      </c>
      <c r="CE120" s="59" t="str">
        <f t="shared" si="169"/>
        <v/>
      </c>
      <c r="CF120" s="59" t="str">
        <f t="shared" si="170"/>
        <v>NA</v>
      </c>
      <c r="CG120" s="59" t="str">
        <f t="shared" ca="1" si="171"/>
        <v>NA</v>
      </c>
      <c r="CH120" s="59" t="str">
        <f t="shared" ca="1" si="172"/>
        <v>NA</v>
      </c>
      <c r="CI120" s="59" t="str">
        <f t="shared" ca="1" si="173"/>
        <v>MAYOR A 45 DIAS</v>
      </c>
      <c r="CJ120" s="59" t="str">
        <f t="shared" ca="1" si="174"/>
        <v>MAYOR A 45 DIAS</v>
      </c>
      <c r="CK120" s="59" t="str">
        <f t="shared" ca="1" si="175"/>
        <v>MAYOR A 45 DIAS</v>
      </c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>
        <f t="shared" si="186"/>
        <v>0</v>
      </c>
      <c r="DH120" s="8">
        <f t="shared" si="187"/>
        <v>0</v>
      </c>
      <c r="DI120" s="8">
        <f t="shared" si="188"/>
        <v>0</v>
      </c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59" t="str">
        <f t="shared" si="189"/>
        <v>NA</v>
      </c>
      <c r="DU120" s="59" t="str">
        <f t="shared" si="190"/>
        <v>NA</v>
      </c>
      <c r="DV120" s="59" t="str">
        <f t="shared" si="191"/>
        <v>NA</v>
      </c>
      <c r="DW120" s="59" t="str">
        <f t="shared" si="192"/>
        <v>NA</v>
      </c>
      <c r="DX120" s="59" t="str">
        <f t="shared" si="193"/>
        <v>NA</v>
      </c>
      <c r="DY120" s="59" t="str">
        <f t="shared" si="194"/>
        <v>NA</v>
      </c>
      <c r="DZ120" s="59" t="str">
        <f t="shared" si="195"/>
        <v>NA</v>
      </c>
      <c r="EA120" s="59" t="str">
        <f t="shared" si="196"/>
        <v>NA</v>
      </c>
      <c r="EB120" s="59" t="str">
        <f t="shared" si="197"/>
        <v>NA</v>
      </c>
      <c r="EC120" s="59" t="str">
        <f t="shared" si="198"/>
        <v>NA</v>
      </c>
      <c r="ED120" s="59" t="str">
        <f t="shared" si="199"/>
        <v/>
      </c>
      <c r="EE120" s="59" t="str">
        <f t="shared" si="200"/>
        <v/>
      </c>
      <c r="EF120" s="59" t="str">
        <f t="shared" si="201"/>
        <v/>
      </c>
      <c r="EG120" s="59" t="str">
        <f t="shared" si="202"/>
        <v/>
      </c>
      <c r="EH120" s="59" t="str">
        <f t="shared" si="203"/>
        <v/>
      </c>
      <c r="EI120" s="59" t="str">
        <f t="shared" si="204"/>
        <v/>
      </c>
      <c r="EJ120" s="59" t="str">
        <f t="shared" si="205"/>
        <v/>
      </c>
      <c r="EK120" s="59" t="str">
        <f t="shared" si="206"/>
        <v/>
      </c>
      <c r="EL120" s="59" t="str">
        <f t="shared" si="207"/>
        <v/>
      </c>
      <c r="EM120" s="59" t="str">
        <f t="shared" si="208"/>
        <v/>
      </c>
      <c r="EN120" s="59" t="str">
        <f t="shared" si="209"/>
        <v/>
      </c>
      <c r="EO120" s="59" t="str">
        <f t="shared" si="210"/>
        <v/>
      </c>
      <c r="EP120" s="59" t="str">
        <f t="shared" si="211"/>
        <v/>
      </c>
      <c r="EQ120" s="59" t="str">
        <f t="shared" si="212"/>
        <v/>
      </c>
      <c r="ER120" s="59" t="str">
        <f t="shared" si="213"/>
        <v/>
      </c>
      <c r="ES120" s="59" t="str">
        <f t="shared" si="214"/>
        <v/>
      </c>
      <c r="ET120" s="59" t="str">
        <f t="shared" si="215"/>
        <v/>
      </c>
      <c r="EU120" s="59" t="str">
        <f t="shared" si="216"/>
        <v/>
      </c>
      <c r="EV120" s="59" t="str">
        <f t="shared" si="217"/>
        <v/>
      </c>
      <c r="EW120" s="59" t="str">
        <f t="shared" si="218"/>
        <v/>
      </c>
      <c r="EX120" s="56">
        <f t="shared" si="176"/>
        <v>1126000</v>
      </c>
    </row>
    <row r="121" spans="1:154" x14ac:dyDescent="0.25">
      <c r="A121" s="2">
        <f t="shared" si="219"/>
        <v>120</v>
      </c>
      <c r="B121" s="2" t="s">
        <v>6</v>
      </c>
      <c r="C121" s="2" t="str">
        <f t="shared" si="177"/>
        <v>020803</v>
      </c>
      <c r="D121" s="2">
        <v>2</v>
      </c>
      <c r="E121" s="2">
        <v>8</v>
      </c>
      <c r="F121" s="2">
        <v>3</v>
      </c>
      <c r="G121" s="11" t="s">
        <v>16</v>
      </c>
      <c r="H121" s="4"/>
      <c r="I121" s="42" t="s">
        <v>58</v>
      </c>
      <c r="J121" s="15">
        <v>80</v>
      </c>
      <c r="K121" s="156"/>
      <c r="L121" s="6" t="s">
        <v>306</v>
      </c>
      <c r="M121" s="23" t="s">
        <v>177</v>
      </c>
      <c r="N121" s="7">
        <f t="shared" si="220"/>
        <v>1126000</v>
      </c>
      <c r="O121" s="8">
        <v>159</v>
      </c>
      <c r="P121" s="25">
        <v>41212</v>
      </c>
      <c r="Q121" s="8" t="str">
        <f t="shared" si="178"/>
        <v>2DA-OCT</v>
      </c>
      <c r="R121" s="26">
        <v>0.1</v>
      </c>
      <c r="S121" s="41" t="s">
        <v>34</v>
      </c>
      <c r="T121" s="8" t="s">
        <v>353</v>
      </c>
      <c r="U121" s="8"/>
      <c r="V121" s="7">
        <v>563000</v>
      </c>
      <c r="W121" s="7">
        <f t="shared" si="315"/>
        <v>225200</v>
      </c>
      <c r="X121" s="7">
        <f t="shared" si="179"/>
        <v>337800</v>
      </c>
      <c r="Y121" s="7">
        <v>0</v>
      </c>
      <c r="Z121" s="7">
        <f t="shared" si="180"/>
        <v>225200</v>
      </c>
      <c r="AA121" s="148" t="str">
        <f t="shared" si="181"/>
        <v>40%</v>
      </c>
      <c r="AB121" s="148">
        <f t="shared" si="182"/>
        <v>0.6</v>
      </c>
      <c r="AC121" s="25">
        <f ca="1">TODAY()-4</f>
        <v>41118</v>
      </c>
      <c r="AD121" s="25">
        <f t="shared" ref="AD121:AE121" ca="1" si="318">TODAY()-4</f>
        <v>41118</v>
      </c>
      <c r="AE121" s="25">
        <f t="shared" ca="1" si="318"/>
        <v>41118</v>
      </c>
      <c r="AF121" s="8"/>
      <c r="AG121" s="59" t="str">
        <f t="shared" ca="1" si="183"/>
        <v>NA</v>
      </c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59" t="str">
        <f t="shared" si="228"/>
        <v>NA</v>
      </c>
      <c r="AS121" s="59" t="str">
        <f t="shared" si="229"/>
        <v/>
      </c>
      <c r="AT121" s="59"/>
      <c r="AU121" s="59" t="str">
        <f t="shared" si="162"/>
        <v>ND</v>
      </c>
      <c r="AV121" s="66"/>
      <c r="AW121" s="66"/>
      <c r="AX121" s="66"/>
      <c r="AY121" s="66"/>
      <c r="AZ121" s="8"/>
      <c r="BA121" s="8" t="s">
        <v>37</v>
      </c>
      <c r="BB121" s="8"/>
      <c r="BC121" s="8"/>
      <c r="BD121" s="8"/>
      <c r="BE121" s="8"/>
      <c r="BF121" s="8"/>
      <c r="BG121" s="8"/>
      <c r="BH121" s="8"/>
      <c r="BI121" s="8"/>
      <c r="BJ121" s="8"/>
      <c r="BK121" s="59"/>
      <c r="BL121" s="59"/>
      <c r="BM121" s="59"/>
      <c r="BN121" s="164">
        <v>0.01</v>
      </c>
      <c r="BO121" s="165">
        <f t="shared" si="184"/>
        <v>3753.3333333333335</v>
      </c>
      <c r="BP121" s="165">
        <f t="shared" ref="BP121:BQ121" si="319">BO121</f>
        <v>3753.3333333333335</v>
      </c>
      <c r="BQ121" s="165">
        <f t="shared" si="319"/>
        <v>3753.3333333333335</v>
      </c>
      <c r="BR121" s="59"/>
      <c r="BS121" s="59"/>
      <c r="BT121" s="59"/>
      <c r="BU121" s="59"/>
      <c r="BV121" s="59" t="str">
        <f t="shared" si="223"/>
        <v>ND</v>
      </c>
      <c r="BW121" s="59" t="str">
        <f t="shared" si="224"/>
        <v>ND</v>
      </c>
      <c r="BX121" s="59" t="str">
        <f t="shared" si="225"/>
        <v>ND</v>
      </c>
      <c r="BY121" s="59" t="str">
        <f t="shared" si="226"/>
        <v>ND</v>
      </c>
      <c r="BZ121" s="59" t="str">
        <f t="shared" si="164"/>
        <v>NA</v>
      </c>
      <c r="CA121" s="59" t="str">
        <f t="shared" si="165"/>
        <v/>
      </c>
      <c r="CB121" s="59" t="str">
        <f t="shared" si="166"/>
        <v>NA</v>
      </c>
      <c r="CC121" s="59" t="str">
        <f t="shared" si="167"/>
        <v/>
      </c>
      <c r="CD121" s="59" t="str">
        <f t="shared" si="168"/>
        <v>NA</v>
      </c>
      <c r="CE121" s="59" t="str">
        <f t="shared" si="169"/>
        <v/>
      </c>
      <c r="CF121" s="59" t="str">
        <f t="shared" si="170"/>
        <v>NA</v>
      </c>
      <c r="CG121" s="59" t="str">
        <f t="shared" ca="1" si="171"/>
        <v>NA</v>
      </c>
      <c r="CH121" s="59" t="str">
        <f t="shared" ca="1" si="172"/>
        <v>NA</v>
      </c>
      <c r="CI121" s="59" t="str">
        <f t="shared" ca="1" si="173"/>
        <v>HASTA 5 DIAS</v>
      </c>
      <c r="CJ121" s="59" t="str">
        <f t="shared" ca="1" si="174"/>
        <v>HASTA 5 DIAS</v>
      </c>
      <c r="CK121" s="59" t="str">
        <f t="shared" ca="1" si="175"/>
        <v>HASTA 5 DIAS</v>
      </c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>
        <f t="shared" si="186"/>
        <v>0</v>
      </c>
      <c r="DH121" s="8">
        <f t="shared" si="187"/>
        <v>0</v>
      </c>
      <c r="DI121" s="8">
        <f t="shared" si="188"/>
        <v>0</v>
      </c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59" t="str">
        <f t="shared" si="189"/>
        <v>NA</v>
      </c>
      <c r="DU121" s="59" t="str">
        <f t="shared" si="190"/>
        <v>NA</v>
      </c>
      <c r="DV121" s="59" t="str">
        <f t="shared" si="191"/>
        <v>NA</v>
      </c>
      <c r="DW121" s="59" t="str">
        <f t="shared" si="192"/>
        <v>NA</v>
      </c>
      <c r="DX121" s="59" t="str">
        <f t="shared" si="193"/>
        <v>NA</v>
      </c>
      <c r="DY121" s="59" t="str">
        <f t="shared" si="194"/>
        <v>NA</v>
      </c>
      <c r="DZ121" s="59" t="str">
        <f t="shared" si="195"/>
        <v>NA</v>
      </c>
      <c r="EA121" s="59" t="str">
        <f t="shared" si="196"/>
        <v>NA</v>
      </c>
      <c r="EB121" s="59" t="str">
        <f t="shared" si="197"/>
        <v>NA</v>
      </c>
      <c r="EC121" s="59" t="str">
        <f t="shared" si="198"/>
        <v>NA</v>
      </c>
      <c r="ED121" s="59" t="str">
        <f t="shared" si="199"/>
        <v/>
      </c>
      <c r="EE121" s="59" t="str">
        <f t="shared" si="200"/>
        <v/>
      </c>
      <c r="EF121" s="59" t="str">
        <f t="shared" si="201"/>
        <v/>
      </c>
      <c r="EG121" s="59" t="str">
        <f t="shared" si="202"/>
        <v/>
      </c>
      <c r="EH121" s="59" t="str">
        <f t="shared" si="203"/>
        <v/>
      </c>
      <c r="EI121" s="59" t="str">
        <f t="shared" si="204"/>
        <v/>
      </c>
      <c r="EJ121" s="59" t="str">
        <f t="shared" si="205"/>
        <v/>
      </c>
      <c r="EK121" s="59" t="str">
        <f t="shared" si="206"/>
        <v/>
      </c>
      <c r="EL121" s="59" t="str">
        <f t="shared" si="207"/>
        <v/>
      </c>
      <c r="EM121" s="59" t="str">
        <f t="shared" si="208"/>
        <v/>
      </c>
      <c r="EN121" s="59" t="str">
        <f t="shared" si="209"/>
        <v/>
      </c>
      <c r="EO121" s="59" t="str">
        <f t="shared" si="210"/>
        <v/>
      </c>
      <c r="EP121" s="59" t="str">
        <f t="shared" si="211"/>
        <v/>
      </c>
      <c r="EQ121" s="59" t="str">
        <f t="shared" si="212"/>
        <v/>
      </c>
      <c r="ER121" s="59" t="str">
        <f t="shared" si="213"/>
        <v/>
      </c>
      <c r="ES121" s="59" t="str">
        <f t="shared" si="214"/>
        <v/>
      </c>
      <c r="ET121" s="59" t="str">
        <f t="shared" si="215"/>
        <v/>
      </c>
      <c r="EU121" s="59" t="str">
        <f t="shared" si="216"/>
        <v/>
      </c>
      <c r="EV121" s="59" t="str">
        <f t="shared" si="217"/>
        <v/>
      </c>
      <c r="EW121" s="59" t="str">
        <f t="shared" si="218"/>
        <v/>
      </c>
      <c r="EX121" s="56">
        <f t="shared" si="176"/>
        <v>1126000</v>
      </c>
    </row>
    <row r="122" spans="1:154" x14ac:dyDescent="0.25">
      <c r="A122" s="2">
        <f t="shared" si="219"/>
        <v>121</v>
      </c>
      <c r="B122" s="2" t="s">
        <v>6</v>
      </c>
      <c r="C122" s="2" t="str">
        <f t="shared" si="177"/>
        <v>020804</v>
      </c>
      <c r="D122" s="2">
        <v>2</v>
      </c>
      <c r="E122" s="2">
        <v>8</v>
      </c>
      <c r="F122" s="2">
        <v>4</v>
      </c>
      <c r="G122" s="11" t="s">
        <v>16</v>
      </c>
      <c r="H122" s="4"/>
      <c r="I122" s="42" t="s">
        <v>58</v>
      </c>
      <c r="J122" s="15">
        <v>80</v>
      </c>
      <c r="K122" s="15"/>
      <c r="L122" s="10" t="s">
        <v>8</v>
      </c>
      <c r="M122" s="23" t="s">
        <v>177</v>
      </c>
      <c r="N122" s="7">
        <f t="shared" si="220"/>
        <v>1135000</v>
      </c>
      <c r="O122" s="8">
        <v>160</v>
      </c>
      <c r="P122" s="25">
        <v>41212</v>
      </c>
      <c r="Q122" s="8" t="str">
        <f t="shared" si="178"/>
        <v>2DA-OCT</v>
      </c>
      <c r="R122" s="26">
        <v>0.1</v>
      </c>
      <c r="S122" s="41" t="s">
        <v>34</v>
      </c>
      <c r="T122" s="8" t="s">
        <v>353</v>
      </c>
      <c r="U122" s="8"/>
      <c r="V122" s="7">
        <v>567500</v>
      </c>
      <c r="W122" s="7">
        <f t="shared" si="315"/>
        <v>227000</v>
      </c>
      <c r="X122" s="7">
        <f t="shared" si="179"/>
        <v>340500</v>
      </c>
      <c r="Y122" s="7">
        <v>0</v>
      </c>
      <c r="Z122" s="7">
        <f t="shared" si="180"/>
        <v>227000</v>
      </c>
      <c r="AA122" s="148" t="str">
        <f t="shared" si="181"/>
        <v>40%</v>
      </c>
      <c r="AB122" s="148">
        <f t="shared" si="182"/>
        <v>0.6</v>
      </c>
      <c r="AC122" s="25">
        <f ca="1">TODAY()-9</f>
        <v>41113</v>
      </c>
      <c r="AD122" s="25">
        <f t="shared" ref="AD122:AE122" ca="1" si="320">TODAY()-9</f>
        <v>41113</v>
      </c>
      <c r="AE122" s="25">
        <f t="shared" ca="1" si="320"/>
        <v>41113</v>
      </c>
      <c r="AF122" s="8"/>
      <c r="AG122" s="59" t="str">
        <f t="shared" ca="1" si="183"/>
        <v>NA</v>
      </c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59" t="str">
        <f t="shared" si="228"/>
        <v>NA</v>
      </c>
      <c r="AS122" s="59" t="str">
        <f t="shared" si="229"/>
        <v/>
      </c>
      <c r="AT122" s="59"/>
      <c r="AU122" s="59" t="str">
        <f t="shared" si="162"/>
        <v>ND</v>
      </c>
      <c r="AV122" s="66"/>
      <c r="AW122" s="66"/>
      <c r="AX122" s="66"/>
      <c r="AY122" s="66"/>
      <c r="AZ122" s="8"/>
      <c r="BA122" s="8" t="s">
        <v>37</v>
      </c>
      <c r="BB122" s="8"/>
      <c r="BC122" s="8"/>
      <c r="BD122" s="8"/>
      <c r="BE122" s="8"/>
      <c r="BF122" s="8"/>
      <c r="BG122" s="8"/>
      <c r="BH122" s="8"/>
      <c r="BI122" s="8"/>
      <c r="BJ122" s="8"/>
      <c r="BK122" s="59"/>
      <c r="BL122" s="59"/>
      <c r="BM122" s="59"/>
      <c r="BN122" s="164">
        <v>0.01</v>
      </c>
      <c r="BO122" s="165">
        <f t="shared" si="184"/>
        <v>3783.3333333333335</v>
      </c>
      <c r="BP122" s="165">
        <f t="shared" ref="BP122:BQ122" si="321">BO122</f>
        <v>3783.3333333333335</v>
      </c>
      <c r="BQ122" s="165">
        <f t="shared" si="321"/>
        <v>3783.3333333333335</v>
      </c>
      <c r="BR122" s="59"/>
      <c r="BS122" s="59"/>
      <c r="BT122" s="59"/>
      <c r="BU122" s="59"/>
      <c r="BV122" s="59" t="str">
        <f t="shared" si="223"/>
        <v>ND</v>
      </c>
      <c r="BW122" s="59" t="str">
        <f t="shared" si="224"/>
        <v>ND</v>
      </c>
      <c r="BX122" s="59" t="str">
        <f t="shared" si="225"/>
        <v>ND</v>
      </c>
      <c r="BY122" s="59" t="str">
        <f t="shared" si="226"/>
        <v>ND</v>
      </c>
      <c r="BZ122" s="59" t="str">
        <f t="shared" si="164"/>
        <v>NA</v>
      </c>
      <c r="CA122" s="59" t="str">
        <f t="shared" si="165"/>
        <v/>
      </c>
      <c r="CB122" s="59" t="str">
        <f t="shared" si="166"/>
        <v>NA</v>
      </c>
      <c r="CC122" s="59" t="str">
        <f t="shared" si="167"/>
        <v/>
      </c>
      <c r="CD122" s="59" t="str">
        <f t="shared" si="168"/>
        <v>NA</v>
      </c>
      <c r="CE122" s="59" t="str">
        <f t="shared" si="169"/>
        <v/>
      </c>
      <c r="CF122" s="59" t="str">
        <f t="shared" si="170"/>
        <v>NA</v>
      </c>
      <c r="CG122" s="59" t="str">
        <f t="shared" ca="1" si="171"/>
        <v>NA</v>
      </c>
      <c r="CH122" s="59" t="str">
        <f t="shared" ca="1" si="172"/>
        <v>NA</v>
      </c>
      <c r="CI122" s="59" t="str">
        <f t="shared" ca="1" si="173"/>
        <v>DE 6 A 10 DIAS</v>
      </c>
      <c r="CJ122" s="59" t="str">
        <f t="shared" ca="1" si="174"/>
        <v>DE 6 A 10 DIAS</v>
      </c>
      <c r="CK122" s="59" t="str">
        <f t="shared" ca="1" si="175"/>
        <v>DE 6 A 10 DIAS</v>
      </c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>
        <f t="shared" si="186"/>
        <v>0</v>
      </c>
      <c r="DH122" s="8">
        <f t="shared" si="187"/>
        <v>0</v>
      </c>
      <c r="DI122" s="8">
        <f t="shared" si="188"/>
        <v>0</v>
      </c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59" t="str">
        <f t="shared" si="189"/>
        <v>NA</v>
      </c>
      <c r="DU122" s="59" t="str">
        <f t="shared" si="190"/>
        <v>NA</v>
      </c>
      <c r="DV122" s="59" t="str">
        <f t="shared" si="191"/>
        <v>NA</v>
      </c>
      <c r="DW122" s="59" t="str">
        <f t="shared" si="192"/>
        <v>NA</v>
      </c>
      <c r="DX122" s="59" t="str">
        <f t="shared" si="193"/>
        <v>NA</v>
      </c>
      <c r="DY122" s="59" t="str">
        <f t="shared" si="194"/>
        <v>NA</v>
      </c>
      <c r="DZ122" s="59" t="str">
        <f t="shared" si="195"/>
        <v>NA</v>
      </c>
      <c r="EA122" s="59" t="str">
        <f t="shared" si="196"/>
        <v>NA</v>
      </c>
      <c r="EB122" s="59" t="str">
        <f t="shared" si="197"/>
        <v>NA</v>
      </c>
      <c r="EC122" s="59" t="str">
        <f t="shared" si="198"/>
        <v>NA</v>
      </c>
      <c r="ED122" s="59" t="str">
        <f t="shared" si="199"/>
        <v/>
      </c>
      <c r="EE122" s="59" t="str">
        <f t="shared" si="200"/>
        <v/>
      </c>
      <c r="EF122" s="59" t="str">
        <f t="shared" si="201"/>
        <v/>
      </c>
      <c r="EG122" s="59" t="str">
        <f t="shared" si="202"/>
        <v/>
      </c>
      <c r="EH122" s="59" t="str">
        <f t="shared" si="203"/>
        <v/>
      </c>
      <c r="EI122" s="59" t="str">
        <f t="shared" si="204"/>
        <v/>
      </c>
      <c r="EJ122" s="59" t="str">
        <f t="shared" si="205"/>
        <v/>
      </c>
      <c r="EK122" s="59" t="str">
        <f t="shared" si="206"/>
        <v/>
      </c>
      <c r="EL122" s="59" t="str">
        <f t="shared" si="207"/>
        <v/>
      </c>
      <c r="EM122" s="59" t="str">
        <f t="shared" si="208"/>
        <v/>
      </c>
      <c r="EN122" s="59" t="str">
        <f t="shared" si="209"/>
        <v/>
      </c>
      <c r="EO122" s="59" t="str">
        <f t="shared" si="210"/>
        <v/>
      </c>
      <c r="EP122" s="59" t="str">
        <f t="shared" si="211"/>
        <v/>
      </c>
      <c r="EQ122" s="59" t="str">
        <f t="shared" si="212"/>
        <v/>
      </c>
      <c r="ER122" s="59" t="str">
        <f t="shared" si="213"/>
        <v/>
      </c>
      <c r="ES122" s="59" t="str">
        <f t="shared" si="214"/>
        <v/>
      </c>
      <c r="ET122" s="59" t="str">
        <f t="shared" si="215"/>
        <v/>
      </c>
      <c r="EU122" s="59" t="str">
        <f t="shared" si="216"/>
        <v/>
      </c>
      <c r="EV122" s="59" t="str">
        <f t="shared" si="217"/>
        <v/>
      </c>
      <c r="EW122" s="59" t="str">
        <f t="shared" si="218"/>
        <v/>
      </c>
      <c r="EX122" s="56">
        <f t="shared" si="176"/>
        <v>1135000</v>
      </c>
    </row>
    <row r="123" spans="1:154" x14ac:dyDescent="0.25">
      <c r="A123" s="2">
        <f t="shared" si="219"/>
        <v>122</v>
      </c>
      <c r="B123" s="2" t="s">
        <v>6</v>
      </c>
      <c r="C123" s="2" t="str">
        <f t="shared" si="177"/>
        <v>020805</v>
      </c>
      <c r="D123" s="13">
        <v>2</v>
      </c>
      <c r="E123" s="13">
        <v>8</v>
      </c>
      <c r="F123" s="13">
        <v>5</v>
      </c>
      <c r="G123" s="11" t="s">
        <v>16</v>
      </c>
      <c r="H123" s="4"/>
      <c r="I123" s="42" t="s">
        <v>58</v>
      </c>
      <c r="J123" s="15">
        <v>80</v>
      </c>
      <c r="K123" s="156"/>
      <c r="L123" s="6" t="s">
        <v>306</v>
      </c>
      <c r="M123" s="23" t="s">
        <v>177</v>
      </c>
      <c r="N123" s="7">
        <f t="shared" si="220"/>
        <v>1126000</v>
      </c>
      <c r="O123" s="8">
        <v>161</v>
      </c>
      <c r="P123" s="25">
        <v>41212</v>
      </c>
      <c r="Q123" s="8" t="str">
        <f t="shared" si="178"/>
        <v>2DA-OCT</v>
      </c>
      <c r="R123" s="26">
        <v>0.1</v>
      </c>
      <c r="S123" s="41" t="s">
        <v>34</v>
      </c>
      <c r="T123" s="8" t="s">
        <v>353</v>
      </c>
      <c r="U123" s="8"/>
      <c r="V123" s="7">
        <v>563000</v>
      </c>
      <c r="W123" s="7">
        <f t="shared" si="315"/>
        <v>225200</v>
      </c>
      <c r="X123" s="7">
        <f t="shared" si="179"/>
        <v>337800</v>
      </c>
      <c r="Y123" s="7">
        <v>0</v>
      </c>
      <c r="Z123" s="7">
        <f t="shared" si="180"/>
        <v>225200</v>
      </c>
      <c r="AA123" s="148" t="str">
        <f t="shared" si="181"/>
        <v>40%</v>
      </c>
      <c r="AB123" s="148">
        <f t="shared" si="182"/>
        <v>0.6</v>
      </c>
      <c r="AC123" s="25">
        <f ca="1">TODAY()-14</f>
        <v>41108</v>
      </c>
      <c r="AD123" s="25">
        <f t="shared" ref="AD123:AE123" ca="1" si="322">TODAY()-14</f>
        <v>41108</v>
      </c>
      <c r="AE123" s="25">
        <f t="shared" ca="1" si="322"/>
        <v>41108</v>
      </c>
      <c r="AF123" s="8"/>
      <c r="AG123" s="59" t="str">
        <f t="shared" ca="1" si="183"/>
        <v>NA</v>
      </c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59" t="str">
        <f t="shared" si="228"/>
        <v>NA</v>
      </c>
      <c r="AS123" s="59" t="str">
        <f t="shared" si="229"/>
        <v/>
      </c>
      <c r="AT123" s="59"/>
      <c r="AU123" s="59" t="str">
        <f t="shared" si="162"/>
        <v>ND</v>
      </c>
      <c r="AV123" s="66"/>
      <c r="AW123" s="66"/>
      <c r="AX123" s="66"/>
      <c r="AY123" s="66"/>
      <c r="AZ123" s="8"/>
      <c r="BA123" s="8" t="s">
        <v>37</v>
      </c>
      <c r="BB123" s="8"/>
      <c r="BC123" s="8"/>
      <c r="BD123" s="8"/>
      <c r="BE123" s="8"/>
      <c r="BF123" s="8"/>
      <c r="BG123" s="8"/>
      <c r="BH123" s="8"/>
      <c r="BI123" s="8"/>
      <c r="BJ123" s="8"/>
      <c r="BK123" s="59"/>
      <c r="BL123" s="59"/>
      <c r="BM123" s="59"/>
      <c r="BN123" s="164">
        <v>0.01</v>
      </c>
      <c r="BO123" s="165">
        <f t="shared" si="184"/>
        <v>3753.3333333333335</v>
      </c>
      <c r="BP123" s="165">
        <f t="shared" ref="BP123:BQ123" si="323">BO123</f>
        <v>3753.3333333333335</v>
      </c>
      <c r="BQ123" s="165">
        <f t="shared" si="323"/>
        <v>3753.3333333333335</v>
      </c>
      <c r="BR123" s="59"/>
      <c r="BS123" s="59"/>
      <c r="BT123" s="59"/>
      <c r="BU123" s="59"/>
      <c r="BV123" s="59" t="str">
        <f t="shared" si="223"/>
        <v>ND</v>
      </c>
      <c r="BW123" s="59" t="str">
        <f t="shared" si="224"/>
        <v>ND</v>
      </c>
      <c r="BX123" s="59" t="str">
        <f t="shared" si="225"/>
        <v>ND</v>
      </c>
      <c r="BY123" s="59" t="str">
        <f t="shared" si="226"/>
        <v>ND</v>
      </c>
      <c r="BZ123" s="59" t="str">
        <f t="shared" si="164"/>
        <v>NA</v>
      </c>
      <c r="CA123" s="59" t="str">
        <f t="shared" si="165"/>
        <v/>
      </c>
      <c r="CB123" s="59" t="str">
        <f t="shared" si="166"/>
        <v>NA</v>
      </c>
      <c r="CC123" s="59" t="str">
        <f t="shared" si="167"/>
        <v/>
      </c>
      <c r="CD123" s="59" t="str">
        <f t="shared" si="168"/>
        <v>NA</v>
      </c>
      <c r="CE123" s="59" t="str">
        <f t="shared" si="169"/>
        <v/>
      </c>
      <c r="CF123" s="59" t="str">
        <f t="shared" si="170"/>
        <v>NA</v>
      </c>
      <c r="CG123" s="59" t="str">
        <f t="shared" ca="1" si="171"/>
        <v>NA</v>
      </c>
      <c r="CH123" s="59" t="str">
        <f t="shared" ca="1" si="172"/>
        <v>NA</v>
      </c>
      <c r="CI123" s="59" t="str">
        <f t="shared" ca="1" si="173"/>
        <v>DE 11 A 15 DIAS</v>
      </c>
      <c r="CJ123" s="59" t="str">
        <f t="shared" ca="1" si="174"/>
        <v>DE 11 A 15 DIAS</v>
      </c>
      <c r="CK123" s="59" t="str">
        <f t="shared" ca="1" si="175"/>
        <v>DE 11 A 15 DIAS</v>
      </c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>
        <f t="shared" si="186"/>
        <v>0</v>
      </c>
      <c r="DH123" s="8">
        <f t="shared" si="187"/>
        <v>0</v>
      </c>
      <c r="DI123" s="8">
        <f t="shared" si="188"/>
        <v>0</v>
      </c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59" t="str">
        <f t="shared" si="189"/>
        <v>NA</v>
      </c>
      <c r="DU123" s="59" t="str">
        <f t="shared" si="190"/>
        <v>NA</v>
      </c>
      <c r="DV123" s="59" t="str">
        <f t="shared" si="191"/>
        <v>NA</v>
      </c>
      <c r="DW123" s="59" t="str">
        <f t="shared" si="192"/>
        <v>NA</v>
      </c>
      <c r="DX123" s="59" t="str">
        <f t="shared" si="193"/>
        <v>NA</v>
      </c>
      <c r="DY123" s="59" t="str">
        <f t="shared" si="194"/>
        <v>NA</v>
      </c>
      <c r="DZ123" s="59" t="str">
        <f t="shared" si="195"/>
        <v>NA</v>
      </c>
      <c r="EA123" s="59" t="str">
        <f t="shared" si="196"/>
        <v>NA</v>
      </c>
      <c r="EB123" s="59" t="str">
        <f t="shared" si="197"/>
        <v>NA</v>
      </c>
      <c r="EC123" s="59" t="str">
        <f t="shared" si="198"/>
        <v>NA</v>
      </c>
      <c r="ED123" s="59" t="str">
        <f t="shared" si="199"/>
        <v/>
      </c>
      <c r="EE123" s="59" t="str">
        <f t="shared" si="200"/>
        <v/>
      </c>
      <c r="EF123" s="59" t="str">
        <f t="shared" si="201"/>
        <v/>
      </c>
      <c r="EG123" s="59" t="str">
        <f t="shared" si="202"/>
        <v/>
      </c>
      <c r="EH123" s="59" t="str">
        <f t="shared" si="203"/>
        <v/>
      </c>
      <c r="EI123" s="59" t="str">
        <f t="shared" si="204"/>
        <v/>
      </c>
      <c r="EJ123" s="59" t="str">
        <f t="shared" si="205"/>
        <v/>
      </c>
      <c r="EK123" s="59" t="str">
        <f t="shared" si="206"/>
        <v/>
      </c>
      <c r="EL123" s="59" t="str">
        <f t="shared" si="207"/>
        <v/>
      </c>
      <c r="EM123" s="59" t="str">
        <f t="shared" si="208"/>
        <v/>
      </c>
      <c r="EN123" s="59" t="str">
        <f t="shared" si="209"/>
        <v/>
      </c>
      <c r="EO123" s="59" t="str">
        <f t="shared" si="210"/>
        <v/>
      </c>
      <c r="EP123" s="59" t="str">
        <f t="shared" si="211"/>
        <v/>
      </c>
      <c r="EQ123" s="59" t="str">
        <f t="shared" si="212"/>
        <v/>
      </c>
      <c r="ER123" s="59" t="str">
        <f t="shared" si="213"/>
        <v/>
      </c>
      <c r="ES123" s="59" t="str">
        <f t="shared" si="214"/>
        <v/>
      </c>
      <c r="ET123" s="59" t="str">
        <f t="shared" si="215"/>
        <v/>
      </c>
      <c r="EU123" s="59" t="str">
        <f t="shared" si="216"/>
        <v/>
      </c>
      <c r="EV123" s="59" t="str">
        <f t="shared" si="217"/>
        <v/>
      </c>
      <c r="EW123" s="59" t="str">
        <f t="shared" si="218"/>
        <v/>
      </c>
      <c r="EX123" s="56">
        <f t="shared" si="176"/>
        <v>1126000</v>
      </c>
    </row>
    <row r="124" spans="1:154" x14ac:dyDescent="0.25">
      <c r="A124" s="2">
        <f t="shared" si="219"/>
        <v>123</v>
      </c>
      <c r="B124" s="2" t="s">
        <v>6</v>
      </c>
      <c r="C124" s="2" t="str">
        <f t="shared" si="177"/>
        <v>020806</v>
      </c>
      <c r="D124" s="13">
        <v>2</v>
      </c>
      <c r="E124" s="13">
        <v>8</v>
      </c>
      <c r="F124" s="13">
        <v>6</v>
      </c>
      <c r="G124" s="11" t="s">
        <v>16</v>
      </c>
      <c r="H124" s="4"/>
      <c r="I124" s="42" t="s">
        <v>58</v>
      </c>
      <c r="J124" s="15">
        <v>80</v>
      </c>
      <c r="K124" s="156"/>
      <c r="L124" s="6" t="s">
        <v>306</v>
      </c>
      <c r="M124" s="23" t="s">
        <v>177</v>
      </c>
      <c r="N124" s="7">
        <f t="shared" si="220"/>
        <v>1126000</v>
      </c>
      <c r="O124" s="8">
        <v>162</v>
      </c>
      <c r="P124" s="25">
        <v>41212</v>
      </c>
      <c r="Q124" s="8" t="str">
        <f t="shared" si="178"/>
        <v>2DA-OCT</v>
      </c>
      <c r="R124" s="26">
        <v>0.1</v>
      </c>
      <c r="S124" s="41" t="s">
        <v>34</v>
      </c>
      <c r="T124" s="8" t="s">
        <v>353</v>
      </c>
      <c r="U124" s="8"/>
      <c r="V124" s="7">
        <v>563000</v>
      </c>
      <c r="W124" s="7">
        <f t="shared" si="315"/>
        <v>225200</v>
      </c>
      <c r="X124" s="7">
        <f t="shared" si="179"/>
        <v>337800</v>
      </c>
      <c r="Y124" s="7">
        <v>0</v>
      </c>
      <c r="Z124" s="7">
        <f t="shared" si="180"/>
        <v>225200</v>
      </c>
      <c r="AA124" s="148" t="str">
        <f t="shared" si="181"/>
        <v>40%</v>
      </c>
      <c r="AB124" s="148">
        <f t="shared" si="182"/>
        <v>0.6</v>
      </c>
      <c r="AC124" s="25">
        <f ca="1">TODAY()-19</f>
        <v>41103</v>
      </c>
      <c r="AD124" s="25">
        <f t="shared" ref="AD124:AE124" ca="1" si="324">TODAY()-19</f>
        <v>41103</v>
      </c>
      <c r="AE124" s="25">
        <f t="shared" ca="1" si="324"/>
        <v>41103</v>
      </c>
      <c r="AF124" s="8"/>
      <c r="AG124" s="59" t="str">
        <f t="shared" ca="1" si="183"/>
        <v>NA</v>
      </c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59" t="str">
        <f t="shared" si="228"/>
        <v>NA</v>
      </c>
      <c r="AS124" s="59" t="str">
        <f t="shared" si="229"/>
        <v/>
      </c>
      <c r="AT124" s="59"/>
      <c r="AU124" s="59" t="str">
        <f t="shared" si="162"/>
        <v>ND</v>
      </c>
      <c r="AV124" s="66"/>
      <c r="AW124" s="66"/>
      <c r="AX124" s="66"/>
      <c r="AY124" s="66"/>
      <c r="AZ124" s="8"/>
      <c r="BA124" s="8" t="s">
        <v>37</v>
      </c>
      <c r="BB124" s="8"/>
      <c r="BC124" s="8"/>
      <c r="BD124" s="8"/>
      <c r="BE124" s="8"/>
      <c r="BF124" s="8"/>
      <c r="BG124" s="8"/>
      <c r="BH124" s="8"/>
      <c r="BI124" s="8"/>
      <c r="BJ124" s="8"/>
      <c r="BK124" s="59"/>
      <c r="BL124" s="59"/>
      <c r="BM124" s="59"/>
      <c r="BN124" s="164">
        <v>0.01</v>
      </c>
      <c r="BO124" s="165">
        <f t="shared" si="184"/>
        <v>3753.3333333333335</v>
      </c>
      <c r="BP124" s="165">
        <f t="shared" ref="BP124:BQ124" si="325">BO124</f>
        <v>3753.3333333333335</v>
      </c>
      <c r="BQ124" s="165">
        <f t="shared" si="325"/>
        <v>3753.3333333333335</v>
      </c>
      <c r="BR124" s="59"/>
      <c r="BS124" s="59"/>
      <c r="BT124" s="59"/>
      <c r="BU124" s="59"/>
      <c r="BV124" s="59" t="str">
        <f t="shared" si="223"/>
        <v>ND</v>
      </c>
      <c r="BW124" s="59" t="str">
        <f t="shared" si="224"/>
        <v>ND</v>
      </c>
      <c r="BX124" s="59" t="str">
        <f t="shared" si="225"/>
        <v>ND</v>
      </c>
      <c r="BY124" s="59" t="str">
        <f t="shared" si="226"/>
        <v>ND</v>
      </c>
      <c r="BZ124" s="59" t="str">
        <f t="shared" si="164"/>
        <v>NA</v>
      </c>
      <c r="CA124" s="59" t="str">
        <f t="shared" si="165"/>
        <v/>
      </c>
      <c r="CB124" s="59" t="str">
        <f t="shared" si="166"/>
        <v>NA</v>
      </c>
      <c r="CC124" s="59" t="str">
        <f t="shared" si="167"/>
        <v/>
      </c>
      <c r="CD124" s="59" t="str">
        <f t="shared" si="168"/>
        <v>NA</v>
      </c>
      <c r="CE124" s="59" t="str">
        <f t="shared" si="169"/>
        <v/>
      </c>
      <c r="CF124" s="59" t="str">
        <f t="shared" si="170"/>
        <v>NA</v>
      </c>
      <c r="CG124" s="59" t="str">
        <f t="shared" ca="1" si="171"/>
        <v>NA</v>
      </c>
      <c r="CH124" s="59" t="str">
        <f t="shared" ca="1" si="172"/>
        <v>NA</v>
      </c>
      <c r="CI124" s="59" t="str">
        <f t="shared" ca="1" si="173"/>
        <v>DE 16 A 20 DIAS</v>
      </c>
      <c r="CJ124" s="59" t="str">
        <f t="shared" ca="1" si="174"/>
        <v>DE 16 A 20 DIAS</v>
      </c>
      <c r="CK124" s="59" t="str">
        <f t="shared" ca="1" si="175"/>
        <v>DE 16 A 20 DIAS</v>
      </c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>
        <f t="shared" si="186"/>
        <v>0</v>
      </c>
      <c r="DH124" s="8">
        <f t="shared" si="187"/>
        <v>0</v>
      </c>
      <c r="DI124" s="8">
        <f t="shared" si="188"/>
        <v>0</v>
      </c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59" t="str">
        <f t="shared" si="189"/>
        <v>NA</v>
      </c>
      <c r="DU124" s="59" t="str">
        <f t="shared" si="190"/>
        <v>NA</v>
      </c>
      <c r="DV124" s="59" t="str">
        <f t="shared" si="191"/>
        <v>NA</v>
      </c>
      <c r="DW124" s="59" t="str">
        <f t="shared" si="192"/>
        <v>NA</v>
      </c>
      <c r="DX124" s="59" t="str">
        <f t="shared" si="193"/>
        <v>NA</v>
      </c>
      <c r="DY124" s="59" t="str">
        <f t="shared" si="194"/>
        <v>NA</v>
      </c>
      <c r="DZ124" s="59" t="str">
        <f t="shared" si="195"/>
        <v>NA</v>
      </c>
      <c r="EA124" s="59" t="str">
        <f t="shared" si="196"/>
        <v>NA</v>
      </c>
      <c r="EB124" s="59" t="str">
        <f t="shared" si="197"/>
        <v>NA</v>
      </c>
      <c r="EC124" s="59" t="str">
        <f t="shared" si="198"/>
        <v>NA</v>
      </c>
      <c r="ED124" s="59" t="str">
        <f t="shared" si="199"/>
        <v/>
      </c>
      <c r="EE124" s="59" t="str">
        <f t="shared" si="200"/>
        <v/>
      </c>
      <c r="EF124" s="59" t="str">
        <f t="shared" si="201"/>
        <v/>
      </c>
      <c r="EG124" s="59" t="str">
        <f t="shared" si="202"/>
        <v/>
      </c>
      <c r="EH124" s="59" t="str">
        <f t="shared" si="203"/>
        <v/>
      </c>
      <c r="EI124" s="59" t="str">
        <f t="shared" si="204"/>
        <v/>
      </c>
      <c r="EJ124" s="59" t="str">
        <f t="shared" si="205"/>
        <v/>
      </c>
      <c r="EK124" s="59" t="str">
        <f t="shared" si="206"/>
        <v/>
      </c>
      <c r="EL124" s="59" t="str">
        <f t="shared" si="207"/>
        <v/>
      </c>
      <c r="EM124" s="59" t="str">
        <f t="shared" si="208"/>
        <v/>
      </c>
      <c r="EN124" s="59" t="str">
        <f t="shared" si="209"/>
        <v/>
      </c>
      <c r="EO124" s="59" t="str">
        <f t="shared" si="210"/>
        <v/>
      </c>
      <c r="EP124" s="59" t="str">
        <f t="shared" si="211"/>
        <v/>
      </c>
      <c r="EQ124" s="59" t="str">
        <f t="shared" si="212"/>
        <v/>
      </c>
      <c r="ER124" s="59" t="str">
        <f t="shared" si="213"/>
        <v/>
      </c>
      <c r="ES124" s="59" t="str">
        <f t="shared" si="214"/>
        <v/>
      </c>
      <c r="ET124" s="59" t="str">
        <f t="shared" si="215"/>
        <v/>
      </c>
      <c r="EU124" s="59" t="str">
        <f t="shared" si="216"/>
        <v/>
      </c>
      <c r="EV124" s="59" t="str">
        <f t="shared" si="217"/>
        <v/>
      </c>
      <c r="EW124" s="59" t="str">
        <f t="shared" si="218"/>
        <v/>
      </c>
      <c r="EX124" s="56">
        <f t="shared" si="176"/>
        <v>1126000</v>
      </c>
    </row>
    <row r="125" spans="1:154" x14ac:dyDescent="0.25">
      <c r="A125" s="2">
        <f t="shared" si="219"/>
        <v>124</v>
      </c>
      <c r="B125" s="2" t="s">
        <v>6</v>
      </c>
      <c r="C125" s="2" t="str">
        <f t="shared" si="177"/>
        <v>020807</v>
      </c>
      <c r="D125" s="13">
        <v>2</v>
      </c>
      <c r="E125" s="13">
        <v>8</v>
      </c>
      <c r="F125" s="13">
        <v>7</v>
      </c>
      <c r="G125" s="11" t="s">
        <v>16</v>
      </c>
      <c r="H125" s="4"/>
      <c r="I125" s="42" t="s">
        <v>58</v>
      </c>
      <c r="J125" s="15">
        <v>80</v>
      </c>
      <c r="K125" s="15"/>
      <c r="L125" s="12" t="s">
        <v>8</v>
      </c>
      <c r="M125" s="23" t="s">
        <v>177</v>
      </c>
      <c r="N125" s="7">
        <f t="shared" si="220"/>
        <v>1135000</v>
      </c>
      <c r="O125" s="8">
        <v>163</v>
      </c>
      <c r="P125" s="25">
        <v>41212</v>
      </c>
      <c r="Q125" s="8" t="str">
        <f t="shared" si="178"/>
        <v>2DA-OCT</v>
      </c>
      <c r="R125" s="26">
        <v>0.1</v>
      </c>
      <c r="S125" s="41" t="s">
        <v>34</v>
      </c>
      <c r="T125" s="8" t="s">
        <v>353</v>
      </c>
      <c r="U125" s="8"/>
      <c r="V125" s="7">
        <v>567500</v>
      </c>
      <c r="W125" s="7">
        <f t="shared" si="315"/>
        <v>227000</v>
      </c>
      <c r="X125" s="7">
        <f t="shared" si="179"/>
        <v>340500</v>
      </c>
      <c r="Y125" s="7">
        <v>0</v>
      </c>
      <c r="Z125" s="7">
        <f t="shared" si="180"/>
        <v>227000</v>
      </c>
      <c r="AA125" s="148" t="str">
        <f t="shared" si="181"/>
        <v>40%</v>
      </c>
      <c r="AB125" s="148">
        <f t="shared" si="182"/>
        <v>0.6</v>
      </c>
      <c r="AC125" s="25">
        <f ca="1">TODAY()-25</f>
        <v>41097</v>
      </c>
      <c r="AD125" s="25">
        <f t="shared" ref="AD125:AE125" ca="1" si="326">TODAY()-25</f>
        <v>41097</v>
      </c>
      <c r="AE125" s="25">
        <f t="shared" ca="1" si="326"/>
        <v>41097</v>
      </c>
      <c r="AF125" s="8"/>
      <c r="AG125" s="59" t="str">
        <f t="shared" ca="1" si="183"/>
        <v>NA</v>
      </c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59" t="str">
        <f t="shared" si="228"/>
        <v>NA</v>
      </c>
      <c r="AS125" s="59" t="str">
        <f t="shared" si="229"/>
        <v/>
      </c>
      <c r="AT125" s="59"/>
      <c r="AU125" s="59" t="str">
        <f t="shared" si="162"/>
        <v>ND</v>
      </c>
      <c r="AV125" s="66"/>
      <c r="AW125" s="66"/>
      <c r="AX125" s="66"/>
      <c r="AY125" s="66"/>
      <c r="AZ125" s="8"/>
      <c r="BA125" s="8" t="s">
        <v>37</v>
      </c>
      <c r="BB125" s="8"/>
      <c r="BC125" s="8"/>
      <c r="BD125" s="8"/>
      <c r="BE125" s="8"/>
      <c r="BF125" s="8"/>
      <c r="BG125" s="8"/>
      <c r="BH125" s="8"/>
      <c r="BI125" s="8"/>
      <c r="BJ125" s="8"/>
      <c r="BK125" s="59"/>
      <c r="BL125" s="59"/>
      <c r="BM125" s="59"/>
      <c r="BN125" s="164">
        <v>0.01</v>
      </c>
      <c r="BO125" s="165">
        <f t="shared" si="184"/>
        <v>3783.3333333333335</v>
      </c>
      <c r="BP125" s="165">
        <f t="shared" ref="BP125:BQ125" si="327">BO125</f>
        <v>3783.3333333333335</v>
      </c>
      <c r="BQ125" s="165">
        <f t="shared" si="327"/>
        <v>3783.3333333333335</v>
      </c>
      <c r="BR125" s="59"/>
      <c r="BS125" s="59"/>
      <c r="BT125" s="59"/>
      <c r="BU125" s="59"/>
      <c r="BV125" s="59" t="str">
        <f t="shared" si="223"/>
        <v>ND</v>
      </c>
      <c r="BW125" s="59" t="str">
        <f t="shared" si="224"/>
        <v>ND</v>
      </c>
      <c r="BX125" s="59" t="str">
        <f t="shared" si="225"/>
        <v>ND</v>
      </c>
      <c r="BY125" s="59" t="str">
        <f t="shared" si="226"/>
        <v>ND</v>
      </c>
      <c r="BZ125" s="59" t="str">
        <f t="shared" si="164"/>
        <v>NA</v>
      </c>
      <c r="CA125" s="59" t="str">
        <f t="shared" si="165"/>
        <v/>
      </c>
      <c r="CB125" s="59" t="str">
        <f t="shared" si="166"/>
        <v>NA</v>
      </c>
      <c r="CC125" s="59" t="str">
        <f t="shared" si="167"/>
        <v/>
      </c>
      <c r="CD125" s="59" t="str">
        <f t="shared" si="168"/>
        <v>NA</v>
      </c>
      <c r="CE125" s="59" t="str">
        <f t="shared" si="169"/>
        <v/>
      </c>
      <c r="CF125" s="59" t="str">
        <f t="shared" si="170"/>
        <v>NA</v>
      </c>
      <c r="CG125" s="59" t="str">
        <f t="shared" ca="1" si="171"/>
        <v>NA</v>
      </c>
      <c r="CH125" s="59" t="str">
        <f t="shared" ca="1" si="172"/>
        <v>NA</v>
      </c>
      <c r="CI125" s="59" t="str">
        <f t="shared" ca="1" si="173"/>
        <v>DE 21 A 25 DIAS</v>
      </c>
      <c r="CJ125" s="59" t="str">
        <f t="shared" ca="1" si="174"/>
        <v>DE 21 A 25 DIAS</v>
      </c>
      <c r="CK125" s="59" t="str">
        <f t="shared" ca="1" si="175"/>
        <v>DE 21 A 25 DIAS</v>
      </c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>
        <f t="shared" si="186"/>
        <v>0</v>
      </c>
      <c r="DH125" s="8">
        <f t="shared" si="187"/>
        <v>0</v>
      </c>
      <c r="DI125" s="8">
        <f t="shared" si="188"/>
        <v>0</v>
      </c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59" t="str">
        <f t="shared" si="189"/>
        <v>NA</v>
      </c>
      <c r="DU125" s="59" t="str">
        <f t="shared" si="190"/>
        <v>NA</v>
      </c>
      <c r="DV125" s="59" t="str">
        <f t="shared" si="191"/>
        <v>NA</v>
      </c>
      <c r="DW125" s="59" t="str">
        <f t="shared" si="192"/>
        <v>NA</v>
      </c>
      <c r="DX125" s="59" t="str">
        <f t="shared" si="193"/>
        <v>NA</v>
      </c>
      <c r="DY125" s="59" t="str">
        <f t="shared" si="194"/>
        <v>NA</v>
      </c>
      <c r="DZ125" s="59" t="str">
        <f t="shared" si="195"/>
        <v>NA</v>
      </c>
      <c r="EA125" s="59" t="str">
        <f t="shared" si="196"/>
        <v>NA</v>
      </c>
      <c r="EB125" s="59" t="str">
        <f t="shared" si="197"/>
        <v>NA</v>
      </c>
      <c r="EC125" s="59" t="str">
        <f t="shared" si="198"/>
        <v>NA</v>
      </c>
      <c r="ED125" s="59" t="str">
        <f t="shared" si="199"/>
        <v/>
      </c>
      <c r="EE125" s="59" t="str">
        <f t="shared" si="200"/>
        <v/>
      </c>
      <c r="EF125" s="59" t="str">
        <f t="shared" si="201"/>
        <v/>
      </c>
      <c r="EG125" s="59" t="str">
        <f t="shared" si="202"/>
        <v/>
      </c>
      <c r="EH125" s="59" t="str">
        <f t="shared" si="203"/>
        <v/>
      </c>
      <c r="EI125" s="59" t="str">
        <f t="shared" si="204"/>
        <v/>
      </c>
      <c r="EJ125" s="59" t="str">
        <f t="shared" si="205"/>
        <v/>
      </c>
      <c r="EK125" s="59" t="str">
        <f t="shared" si="206"/>
        <v/>
      </c>
      <c r="EL125" s="59" t="str">
        <f t="shared" si="207"/>
        <v/>
      </c>
      <c r="EM125" s="59" t="str">
        <f t="shared" si="208"/>
        <v/>
      </c>
      <c r="EN125" s="59" t="str">
        <f t="shared" si="209"/>
        <v/>
      </c>
      <c r="EO125" s="59" t="str">
        <f t="shared" si="210"/>
        <v/>
      </c>
      <c r="EP125" s="59" t="str">
        <f t="shared" si="211"/>
        <v/>
      </c>
      <c r="EQ125" s="59" t="str">
        <f t="shared" si="212"/>
        <v/>
      </c>
      <c r="ER125" s="59" t="str">
        <f t="shared" si="213"/>
        <v/>
      </c>
      <c r="ES125" s="59" t="str">
        <f t="shared" si="214"/>
        <v/>
      </c>
      <c r="ET125" s="59" t="str">
        <f t="shared" si="215"/>
        <v/>
      </c>
      <c r="EU125" s="59" t="str">
        <f t="shared" si="216"/>
        <v/>
      </c>
      <c r="EV125" s="59" t="str">
        <f t="shared" si="217"/>
        <v/>
      </c>
      <c r="EW125" s="59" t="str">
        <f t="shared" si="218"/>
        <v/>
      </c>
      <c r="EX125" s="56">
        <f t="shared" si="176"/>
        <v>1135000</v>
      </c>
    </row>
    <row r="126" spans="1:154" x14ac:dyDescent="0.25">
      <c r="A126" s="2">
        <f t="shared" si="219"/>
        <v>125</v>
      </c>
      <c r="B126" s="2" t="s">
        <v>6</v>
      </c>
      <c r="C126" s="2" t="str">
        <f t="shared" si="177"/>
        <v>020808</v>
      </c>
      <c r="D126" s="2">
        <v>2</v>
      </c>
      <c r="E126" s="2">
        <v>8</v>
      </c>
      <c r="F126" s="2">
        <v>8</v>
      </c>
      <c r="G126" s="11" t="s">
        <v>16</v>
      </c>
      <c r="H126" s="4"/>
      <c r="I126" s="42" t="s">
        <v>58</v>
      </c>
      <c r="J126" s="15">
        <v>80</v>
      </c>
      <c r="K126" s="156"/>
      <c r="L126" s="6" t="s">
        <v>306</v>
      </c>
      <c r="M126" s="23" t="s">
        <v>177</v>
      </c>
      <c r="N126" s="7">
        <f t="shared" si="220"/>
        <v>1126000</v>
      </c>
      <c r="O126" s="8">
        <v>164</v>
      </c>
      <c r="P126" s="25">
        <v>41212</v>
      </c>
      <c r="Q126" s="8" t="str">
        <f t="shared" si="178"/>
        <v>2DA-OCT</v>
      </c>
      <c r="R126" s="26">
        <v>0.1</v>
      </c>
      <c r="S126" s="41" t="s">
        <v>34</v>
      </c>
      <c r="T126" s="8" t="s">
        <v>353</v>
      </c>
      <c r="U126" s="8"/>
      <c r="V126" s="7">
        <v>563000</v>
      </c>
      <c r="W126" s="7">
        <f t="shared" si="315"/>
        <v>225200</v>
      </c>
      <c r="X126" s="7">
        <f t="shared" si="179"/>
        <v>337800</v>
      </c>
      <c r="Y126" s="7">
        <v>0</v>
      </c>
      <c r="Z126" s="7">
        <f t="shared" si="180"/>
        <v>225200</v>
      </c>
      <c r="AA126" s="148" t="str">
        <f t="shared" si="181"/>
        <v>40%</v>
      </c>
      <c r="AB126" s="148">
        <f t="shared" si="182"/>
        <v>0.6</v>
      </c>
      <c r="AC126" s="25">
        <f ca="1">TODAY()-29</f>
        <v>41093</v>
      </c>
      <c r="AD126" s="25">
        <f t="shared" ref="AD126:AE126" ca="1" si="328">TODAY()-29</f>
        <v>41093</v>
      </c>
      <c r="AE126" s="25">
        <f t="shared" ca="1" si="328"/>
        <v>41093</v>
      </c>
      <c r="AF126" s="8"/>
      <c r="AG126" s="59" t="str">
        <f t="shared" ca="1" si="183"/>
        <v>NA</v>
      </c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59" t="str">
        <f t="shared" si="228"/>
        <v>NA</v>
      </c>
      <c r="AS126" s="59" t="str">
        <f t="shared" si="229"/>
        <v/>
      </c>
      <c r="AT126" s="59"/>
      <c r="AU126" s="59" t="str">
        <f t="shared" si="162"/>
        <v>ND</v>
      </c>
      <c r="AV126" s="66"/>
      <c r="AW126" s="66"/>
      <c r="AX126" s="66"/>
      <c r="AY126" s="66"/>
      <c r="AZ126" s="8"/>
      <c r="BA126" s="8" t="s">
        <v>37</v>
      </c>
      <c r="BB126" s="8"/>
      <c r="BC126" s="8"/>
      <c r="BD126" s="8"/>
      <c r="BE126" s="8"/>
      <c r="BF126" s="8"/>
      <c r="BG126" s="8"/>
      <c r="BH126" s="8"/>
      <c r="BI126" s="8"/>
      <c r="BJ126" s="8"/>
      <c r="BK126" s="59"/>
      <c r="BL126" s="59"/>
      <c r="BM126" s="59"/>
      <c r="BN126" s="164">
        <v>0.01</v>
      </c>
      <c r="BO126" s="165">
        <f t="shared" si="184"/>
        <v>3753.3333333333335</v>
      </c>
      <c r="BP126" s="165">
        <f t="shared" ref="BP126:BQ126" si="329">BO126</f>
        <v>3753.3333333333335</v>
      </c>
      <c r="BQ126" s="165">
        <f t="shared" si="329"/>
        <v>3753.3333333333335</v>
      </c>
      <c r="BR126" s="59"/>
      <c r="BS126" s="59"/>
      <c r="BT126" s="59"/>
      <c r="BU126" s="59"/>
      <c r="BV126" s="59" t="str">
        <f t="shared" si="223"/>
        <v>ND</v>
      </c>
      <c r="BW126" s="59" t="str">
        <f t="shared" si="224"/>
        <v>ND</v>
      </c>
      <c r="BX126" s="59" t="str">
        <f t="shared" si="225"/>
        <v>ND</v>
      </c>
      <c r="BY126" s="59" t="str">
        <f t="shared" si="226"/>
        <v>ND</v>
      </c>
      <c r="BZ126" s="59" t="str">
        <f t="shared" si="164"/>
        <v>NA</v>
      </c>
      <c r="CA126" s="59" t="str">
        <f t="shared" si="165"/>
        <v/>
      </c>
      <c r="CB126" s="59" t="str">
        <f t="shared" si="166"/>
        <v>NA</v>
      </c>
      <c r="CC126" s="59" t="str">
        <f t="shared" si="167"/>
        <v/>
      </c>
      <c r="CD126" s="59" t="str">
        <f t="shared" si="168"/>
        <v>NA</v>
      </c>
      <c r="CE126" s="59" t="str">
        <f t="shared" si="169"/>
        <v/>
      </c>
      <c r="CF126" s="59" t="str">
        <f t="shared" si="170"/>
        <v>NA</v>
      </c>
      <c r="CG126" s="59" t="str">
        <f t="shared" ca="1" si="171"/>
        <v>NA</v>
      </c>
      <c r="CH126" s="59" t="str">
        <f t="shared" ca="1" si="172"/>
        <v>NA</v>
      </c>
      <c r="CI126" s="59" t="str">
        <f t="shared" ca="1" si="173"/>
        <v>DE 26 A 29 DIAS</v>
      </c>
      <c r="CJ126" s="59" t="str">
        <f t="shared" ca="1" si="174"/>
        <v>DE 26 A 29 DIAS</v>
      </c>
      <c r="CK126" s="59" t="str">
        <f t="shared" ca="1" si="175"/>
        <v>DE 26 A 29 DIAS</v>
      </c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>
        <f t="shared" si="186"/>
        <v>0</v>
      </c>
      <c r="DH126" s="8">
        <f t="shared" si="187"/>
        <v>0</v>
      </c>
      <c r="DI126" s="8">
        <f t="shared" si="188"/>
        <v>0</v>
      </c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59" t="str">
        <f t="shared" si="189"/>
        <v>NA</v>
      </c>
      <c r="DU126" s="59" t="str">
        <f t="shared" si="190"/>
        <v>NA</v>
      </c>
      <c r="DV126" s="59" t="str">
        <f t="shared" si="191"/>
        <v>NA</v>
      </c>
      <c r="DW126" s="59" t="str">
        <f t="shared" si="192"/>
        <v>NA</v>
      </c>
      <c r="DX126" s="59" t="str">
        <f t="shared" si="193"/>
        <v>NA</v>
      </c>
      <c r="DY126" s="59" t="str">
        <f t="shared" si="194"/>
        <v>NA</v>
      </c>
      <c r="DZ126" s="59" t="str">
        <f t="shared" si="195"/>
        <v>NA</v>
      </c>
      <c r="EA126" s="59" t="str">
        <f t="shared" si="196"/>
        <v>NA</v>
      </c>
      <c r="EB126" s="59" t="str">
        <f t="shared" si="197"/>
        <v>NA</v>
      </c>
      <c r="EC126" s="59" t="str">
        <f t="shared" si="198"/>
        <v>NA</v>
      </c>
      <c r="ED126" s="59" t="str">
        <f t="shared" si="199"/>
        <v/>
      </c>
      <c r="EE126" s="59" t="str">
        <f t="shared" si="200"/>
        <v/>
      </c>
      <c r="EF126" s="59" t="str">
        <f t="shared" si="201"/>
        <v/>
      </c>
      <c r="EG126" s="59" t="str">
        <f t="shared" si="202"/>
        <v/>
      </c>
      <c r="EH126" s="59" t="str">
        <f t="shared" si="203"/>
        <v/>
      </c>
      <c r="EI126" s="59" t="str">
        <f t="shared" si="204"/>
        <v/>
      </c>
      <c r="EJ126" s="59" t="str">
        <f t="shared" si="205"/>
        <v/>
      </c>
      <c r="EK126" s="59" t="str">
        <f t="shared" si="206"/>
        <v/>
      </c>
      <c r="EL126" s="59" t="str">
        <f t="shared" si="207"/>
        <v/>
      </c>
      <c r="EM126" s="59" t="str">
        <f t="shared" si="208"/>
        <v/>
      </c>
      <c r="EN126" s="59" t="str">
        <f t="shared" si="209"/>
        <v/>
      </c>
      <c r="EO126" s="59" t="str">
        <f t="shared" si="210"/>
        <v/>
      </c>
      <c r="EP126" s="59" t="str">
        <f t="shared" si="211"/>
        <v/>
      </c>
      <c r="EQ126" s="59" t="str">
        <f t="shared" si="212"/>
        <v/>
      </c>
      <c r="ER126" s="59" t="str">
        <f t="shared" si="213"/>
        <v/>
      </c>
      <c r="ES126" s="59" t="str">
        <f t="shared" si="214"/>
        <v/>
      </c>
      <c r="ET126" s="59" t="str">
        <f t="shared" si="215"/>
        <v/>
      </c>
      <c r="EU126" s="59" t="str">
        <f t="shared" si="216"/>
        <v/>
      </c>
      <c r="EV126" s="59" t="str">
        <f t="shared" si="217"/>
        <v/>
      </c>
      <c r="EW126" s="59" t="str">
        <f t="shared" si="218"/>
        <v/>
      </c>
      <c r="EX126" s="56">
        <f t="shared" si="176"/>
        <v>1126000</v>
      </c>
    </row>
    <row r="127" spans="1:154" x14ac:dyDescent="0.25">
      <c r="A127" s="2">
        <f t="shared" si="219"/>
        <v>126</v>
      </c>
      <c r="B127" s="2" t="s">
        <v>6</v>
      </c>
      <c r="C127" s="2" t="str">
        <f t="shared" si="177"/>
        <v>020809</v>
      </c>
      <c r="D127" s="2">
        <v>2</v>
      </c>
      <c r="E127" s="2">
        <v>8</v>
      </c>
      <c r="F127" s="2">
        <v>9</v>
      </c>
      <c r="G127" s="11" t="s">
        <v>11</v>
      </c>
      <c r="H127" s="4"/>
      <c r="I127" s="42" t="s">
        <v>58</v>
      </c>
      <c r="J127" s="9">
        <v>95.784999999999997</v>
      </c>
      <c r="K127" s="5"/>
      <c r="L127" s="6" t="s">
        <v>306</v>
      </c>
      <c r="M127" s="23" t="s">
        <v>177</v>
      </c>
      <c r="N127" s="7">
        <f t="shared" si="220"/>
        <v>1185983</v>
      </c>
      <c r="O127" s="8">
        <v>165</v>
      </c>
      <c r="P127" s="25">
        <v>41212</v>
      </c>
      <c r="Q127" s="8" t="str">
        <f t="shared" si="178"/>
        <v>2DA-OCT</v>
      </c>
      <c r="R127" s="26">
        <v>0.1</v>
      </c>
      <c r="S127" s="41" t="s">
        <v>34</v>
      </c>
      <c r="T127" s="8" t="s">
        <v>353</v>
      </c>
      <c r="U127" s="8"/>
      <c r="V127" s="7">
        <v>592991.5</v>
      </c>
      <c r="W127" s="7">
        <f t="shared" si="315"/>
        <v>237196.6</v>
      </c>
      <c r="X127" s="7">
        <f t="shared" si="179"/>
        <v>355794.9</v>
      </c>
      <c r="Y127" s="7">
        <v>0</v>
      </c>
      <c r="Z127" s="7">
        <f t="shared" si="180"/>
        <v>237196.6</v>
      </c>
      <c r="AA127" s="148" t="str">
        <f t="shared" si="181"/>
        <v>40%</v>
      </c>
      <c r="AB127" s="148">
        <f t="shared" si="182"/>
        <v>0.6</v>
      </c>
      <c r="AC127" s="25">
        <f ca="1">TODAY()-30</f>
        <v>41092</v>
      </c>
      <c r="AD127" s="25">
        <f t="shared" ref="AD127:AE127" ca="1" si="330">TODAY()-30</f>
        <v>41092</v>
      </c>
      <c r="AE127" s="25">
        <f t="shared" ca="1" si="330"/>
        <v>41092</v>
      </c>
      <c r="AF127" s="8"/>
      <c r="AG127" s="59" t="str">
        <f t="shared" ca="1" si="183"/>
        <v>NA</v>
      </c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59" t="str">
        <f t="shared" si="228"/>
        <v>NA</v>
      </c>
      <c r="AS127" s="59" t="str">
        <f t="shared" si="229"/>
        <v/>
      </c>
      <c r="AT127" s="59"/>
      <c r="AU127" s="59" t="str">
        <f t="shared" si="162"/>
        <v>ND</v>
      </c>
      <c r="AV127" s="66"/>
      <c r="AW127" s="66"/>
      <c r="AX127" s="66"/>
      <c r="AY127" s="66"/>
      <c r="AZ127" s="8"/>
      <c r="BA127" s="8" t="s">
        <v>37</v>
      </c>
      <c r="BB127" s="8"/>
      <c r="BC127" s="8"/>
      <c r="BD127" s="8"/>
      <c r="BE127" s="8"/>
      <c r="BF127" s="8"/>
      <c r="BG127" s="8"/>
      <c r="BH127" s="8"/>
      <c r="BI127" s="8"/>
      <c r="BJ127" s="8"/>
      <c r="BK127" s="59"/>
      <c r="BL127" s="59"/>
      <c r="BM127" s="59"/>
      <c r="BN127" s="164">
        <v>0.01</v>
      </c>
      <c r="BO127" s="165">
        <f t="shared" si="184"/>
        <v>3953.2766666666666</v>
      </c>
      <c r="BP127" s="165">
        <f t="shared" ref="BP127:BQ127" si="331">BO127</f>
        <v>3953.2766666666666</v>
      </c>
      <c r="BQ127" s="165">
        <f t="shared" si="331"/>
        <v>3953.2766666666666</v>
      </c>
      <c r="BR127" s="59"/>
      <c r="BS127" s="59"/>
      <c r="BT127" s="59"/>
      <c r="BU127" s="59"/>
      <c r="BV127" s="59" t="str">
        <f t="shared" si="223"/>
        <v>ND</v>
      </c>
      <c r="BW127" s="59" t="str">
        <f t="shared" si="224"/>
        <v>ND</v>
      </c>
      <c r="BX127" s="59" t="str">
        <f t="shared" si="225"/>
        <v>ND</v>
      </c>
      <c r="BY127" s="59" t="str">
        <f t="shared" si="226"/>
        <v>ND</v>
      </c>
      <c r="BZ127" s="59" t="str">
        <f t="shared" si="164"/>
        <v>NA</v>
      </c>
      <c r="CA127" s="59" t="str">
        <f t="shared" si="165"/>
        <v/>
      </c>
      <c r="CB127" s="59" t="str">
        <f t="shared" si="166"/>
        <v>NA</v>
      </c>
      <c r="CC127" s="59" t="str">
        <f t="shared" si="167"/>
        <v/>
      </c>
      <c r="CD127" s="59" t="str">
        <f t="shared" si="168"/>
        <v>NA</v>
      </c>
      <c r="CE127" s="59" t="str">
        <f t="shared" si="169"/>
        <v/>
      </c>
      <c r="CF127" s="59" t="str">
        <f t="shared" si="170"/>
        <v>NA</v>
      </c>
      <c r="CG127" s="59" t="str">
        <f t="shared" ca="1" si="171"/>
        <v>NA</v>
      </c>
      <c r="CH127" s="59" t="str">
        <f t="shared" ca="1" si="172"/>
        <v>NA</v>
      </c>
      <c r="CI127" s="59" t="str">
        <f t="shared" ca="1" si="173"/>
        <v>30 DIAS</v>
      </c>
      <c r="CJ127" s="59" t="str">
        <f t="shared" ca="1" si="174"/>
        <v>30 DIAS</v>
      </c>
      <c r="CK127" s="59" t="str">
        <f t="shared" ca="1" si="175"/>
        <v>30 DIAS</v>
      </c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>
        <f t="shared" si="186"/>
        <v>0</v>
      </c>
      <c r="DH127" s="8">
        <f t="shared" si="187"/>
        <v>0</v>
      </c>
      <c r="DI127" s="8">
        <f t="shared" si="188"/>
        <v>0</v>
      </c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59" t="str">
        <f t="shared" si="189"/>
        <v>NA</v>
      </c>
      <c r="DU127" s="59" t="str">
        <f t="shared" si="190"/>
        <v>NA</v>
      </c>
      <c r="DV127" s="59" t="str">
        <f t="shared" si="191"/>
        <v>NA</v>
      </c>
      <c r="DW127" s="59" t="str">
        <f t="shared" si="192"/>
        <v>NA</v>
      </c>
      <c r="DX127" s="59" t="str">
        <f t="shared" si="193"/>
        <v>NA</v>
      </c>
      <c r="DY127" s="59" t="str">
        <f t="shared" si="194"/>
        <v>NA</v>
      </c>
      <c r="DZ127" s="59" t="str">
        <f t="shared" si="195"/>
        <v>NA</v>
      </c>
      <c r="EA127" s="59" t="str">
        <f t="shared" si="196"/>
        <v>NA</v>
      </c>
      <c r="EB127" s="59" t="str">
        <f t="shared" si="197"/>
        <v>NA</v>
      </c>
      <c r="EC127" s="59" t="str">
        <f t="shared" si="198"/>
        <v>NA</v>
      </c>
      <c r="ED127" s="59" t="str">
        <f t="shared" si="199"/>
        <v/>
      </c>
      <c r="EE127" s="59" t="str">
        <f t="shared" si="200"/>
        <v/>
      </c>
      <c r="EF127" s="59" t="str">
        <f t="shared" si="201"/>
        <v/>
      </c>
      <c r="EG127" s="59" t="str">
        <f t="shared" si="202"/>
        <v/>
      </c>
      <c r="EH127" s="59" t="str">
        <f t="shared" si="203"/>
        <v/>
      </c>
      <c r="EI127" s="59" t="str">
        <f t="shared" si="204"/>
        <v/>
      </c>
      <c r="EJ127" s="59" t="str">
        <f t="shared" si="205"/>
        <v/>
      </c>
      <c r="EK127" s="59" t="str">
        <f t="shared" si="206"/>
        <v/>
      </c>
      <c r="EL127" s="59" t="str">
        <f t="shared" si="207"/>
        <v/>
      </c>
      <c r="EM127" s="59" t="str">
        <f t="shared" si="208"/>
        <v/>
      </c>
      <c r="EN127" s="59" t="str">
        <f t="shared" si="209"/>
        <v/>
      </c>
      <c r="EO127" s="59" t="str">
        <f t="shared" si="210"/>
        <v/>
      </c>
      <c r="EP127" s="59" t="str">
        <f t="shared" si="211"/>
        <v/>
      </c>
      <c r="EQ127" s="59" t="str">
        <f t="shared" si="212"/>
        <v/>
      </c>
      <c r="ER127" s="59" t="str">
        <f t="shared" si="213"/>
        <v/>
      </c>
      <c r="ES127" s="59" t="str">
        <f t="shared" si="214"/>
        <v/>
      </c>
      <c r="ET127" s="59" t="str">
        <f t="shared" si="215"/>
        <v/>
      </c>
      <c r="EU127" s="59" t="str">
        <f t="shared" si="216"/>
        <v/>
      </c>
      <c r="EV127" s="59" t="str">
        <f t="shared" si="217"/>
        <v/>
      </c>
      <c r="EW127" s="59" t="str">
        <f t="shared" si="218"/>
        <v/>
      </c>
      <c r="EX127" s="56">
        <f t="shared" si="176"/>
        <v>1185983</v>
      </c>
    </row>
    <row r="128" spans="1:154" x14ac:dyDescent="0.25">
      <c r="A128" s="2">
        <f t="shared" si="219"/>
        <v>127</v>
      </c>
      <c r="B128" s="2" t="s">
        <v>6</v>
      </c>
      <c r="C128" s="2" t="str">
        <f t="shared" si="177"/>
        <v>020810</v>
      </c>
      <c r="D128" s="2">
        <v>2</v>
      </c>
      <c r="E128" s="2">
        <v>8</v>
      </c>
      <c r="F128" s="2">
        <v>10</v>
      </c>
      <c r="G128" s="11" t="s">
        <v>11</v>
      </c>
      <c r="H128" s="4"/>
      <c r="I128" s="42" t="s">
        <v>58</v>
      </c>
      <c r="J128" s="9">
        <v>88.542000000000002</v>
      </c>
      <c r="K128" s="5"/>
      <c r="L128" s="6" t="s">
        <v>306</v>
      </c>
      <c r="M128" s="23" t="s">
        <v>177</v>
      </c>
      <c r="N128" s="7">
        <f t="shared" si="220"/>
        <v>1158459.6000000001</v>
      </c>
      <c r="O128" s="8">
        <v>166</v>
      </c>
      <c r="P128" s="25">
        <v>41212</v>
      </c>
      <c r="Q128" s="8" t="str">
        <f t="shared" si="178"/>
        <v>2DA-OCT</v>
      </c>
      <c r="R128" s="26">
        <v>0.1</v>
      </c>
      <c r="S128" s="41" t="s">
        <v>34</v>
      </c>
      <c r="T128" s="8" t="s">
        <v>353</v>
      </c>
      <c r="U128" s="8"/>
      <c r="V128" s="7">
        <v>579229.80000000005</v>
      </c>
      <c r="W128" s="7">
        <f t="shared" si="315"/>
        <v>231691.92000000004</v>
      </c>
      <c r="X128" s="7">
        <f t="shared" si="179"/>
        <v>347537.88</v>
      </c>
      <c r="Y128" s="7">
        <v>0</v>
      </c>
      <c r="Z128" s="7">
        <f t="shared" si="180"/>
        <v>231691.92000000004</v>
      </c>
      <c r="AA128" s="148" t="str">
        <f t="shared" si="181"/>
        <v>40%</v>
      </c>
      <c r="AB128" s="148">
        <f t="shared" si="182"/>
        <v>0.6</v>
      </c>
      <c r="AC128" s="25">
        <f ca="1">TODAY()-34</f>
        <v>41088</v>
      </c>
      <c r="AD128" s="25">
        <f t="shared" ref="AD128:AE128" ca="1" si="332">TODAY()-34</f>
        <v>41088</v>
      </c>
      <c r="AE128" s="25">
        <f t="shared" ca="1" si="332"/>
        <v>41088</v>
      </c>
      <c r="AF128" s="8"/>
      <c r="AG128" s="59" t="str">
        <f t="shared" ca="1" si="183"/>
        <v>NA</v>
      </c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59" t="str">
        <f t="shared" si="228"/>
        <v>NA</v>
      </c>
      <c r="AS128" s="59" t="str">
        <f t="shared" si="229"/>
        <v/>
      </c>
      <c r="AT128" s="59"/>
      <c r="AU128" s="59" t="str">
        <f t="shared" si="162"/>
        <v>ND</v>
      </c>
      <c r="AV128" s="66"/>
      <c r="AW128" s="66"/>
      <c r="AX128" s="66"/>
      <c r="AY128" s="66"/>
      <c r="AZ128" s="8"/>
      <c r="BA128" s="8" t="s">
        <v>37</v>
      </c>
      <c r="BB128" s="8"/>
      <c r="BC128" s="8"/>
      <c r="BD128" s="8"/>
      <c r="BE128" s="8"/>
      <c r="BF128" s="8"/>
      <c r="BG128" s="8"/>
      <c r="BH128" s="8"/>
      <c r="BI128" s="8"/>
      <c r="BJ128" s="8"/>
      <c r="BK128" s="59"/>
      <c r="BL128" s="59"/>
      <c r="BM128" s="59"/>
      <c r="BN128" s="164">
        <v>0.01</v>
      </c>
      <c r="BO128" s="165">
        <f t="shared" si="184"/>
        <v>3861.5320000000006</v>
      </c>
      <c r="BP128" s="165">
        <f t="shared" ref="BP128:BQ128" si="333">BO128</f>
        <v>3861.5320000000006</v>
      </c>
      <c r="BQ128" s="165">
        <f t="shared" si="333"/>
        <v>3861.5320000000006</v>
      </c>
      <c r="BR128" s="59"/>
      <c r="BS128" s="59"/>
      <c r="BT128" s="59"/>
      <c r="BU128" s="59"/>
      <c r="BV128" s="59" t="str">
        <f t="shared" si="223"/>
        <v>ND</v>
      </c>
      <c r="BW128" s="59" t="str">
        <f t="shared" si="224"/>
        <v>ND</v>
      </c>
      <c r="BX128" s="59" t="str">
        <f t="shared" si="225"/>
        <v>ND</v>
      </c>
      <c r="BY128" s="59" t="str">
        <f t="shared" si="226"/>
        <v>ND</v>
      </c>
      <c r="BZ128" s="59" t="str">
        <f t="shared" si="164"/>
        <v>NA</v>
      </c>
      <c r="CA128" s="59" t="str">
        <f t="shared" si="165"/>
        <v/>
      </c>
      <c r="CB128" s="59" t="str">
        <f t="shared" si="166"/>
        <v>NA</v>
      </c>
      <c r="CC128" s="59" t="str">
        <f t="shared" si="167"/>
        <v/>
      </c>
      <c r="CD128" s="59" t="str">
        <f t="shared" si="168"/>
        <v>NA</v>
      </c>
      <c r="CE128" s="59" t="str">
        <f t="shared" si="169"/>
        <v/>
      </c>
      <c r="CF128" s="59" t="str">
        <f t="shared" si="170"/>
        <v>NA</v>
      </c>
      <c r="CG128" s="59" t="str">
        <f t="shared" ca="1" si="171"/>
        <v>NA</v>
      </c>
      <c r="CH128" s="59" t="str">
        <f t="shared" ca="1" si="172"/>
        <v>NA</v>
      </c>
      <c r="CI128" s="59" t="str">
        <f t="shared" ca="1" si="173"/>
        <v>DE 31 A 35 DIAS</v>
      </c>
      <c r="CJ128" s="59" t="str">
        <f t="shared" ca="1" si="174"/>
        <v>DE 31 A 35 DIAS</v>
      </c>
      <c r="CK128" s="59" t="str">
        <f t="shared" ca="1" si="175"/>
        <v>DE 31 A 35 DIAS</v>
      </c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>
        <f t="shared" si="186"/>
        <v>0</v>
      </c>
      <c r="DH128" s="8">
        <f t="shared" si="187"/>
        <v>0</v>
      </c>
      <c r="DI128" s="8">
        <f t="shared" si="188"/>
        <v>0</v>
      </c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59" t="str">
        <f t="shared" si="189"/>
        <v>NA</v>
      </c>
      <c r="DU128" s="59" t="str">
        <f t="shared" si="190"/>
        <v>NA</v>
      </c>
      <c r="DV128" s="59" t="str">
        <f t="shared" si="191"/>
        <v>NA</v>
      </c>
      <c r="DW128" s="59" t="str">
        <f t="shared" si="192"/>
        <v>NA</v>
      </c>
      <c r="DX128" s="59" t="str">
        <f t="shared" si="193"/>
        <v>NA</v>
      </c>
      <c r="DY128" s="59" t="str">
        <f t="shared" si="194"/>
        <v>NA</v>
      </c>
      <c r="DZ128" s="59" t="str">
        <f t="shared" si="195"/>
        <v>NA</v>
      </c>
      <c r="EA128" s="59" t="str">
        <f t="shared" si="196"/>
        <v>NA</v>
      </c>
      <c r="EB128" s="59" t="str">
        <f t="shared" si="197"/>
        <v>NA</v>
      </c>
      <c r="EC128" s="59" t="str">
        <f t="shared" si="198"/>
        <v>NA</v>
      </c>
      <c r="ED128" s="59" t="str">
        <f t="shared" si="199"/>
        <v/>
      </c>
      <c r="EE128" s="59" t="str">
        <f t="shared" si="200"/>
        <v/>
      </c>
      <c r="EF128" s="59" t="str">
        <f t="shared" si="201"/>
        <v/>
      </c>
      <c r="EG128" s="59" t="str">
        <f t="shared" si="202"/>
        <v/>
      </c>
      <c r="EH128" s="59" t="str">
        <f t="shared" si="203"/>
        <v/>
      </c>
      <c r="EI128" s="59" t="str">
        <f t="shared" si="204"/>
        <v/>
      </c>
      <c r="EJ128" s="59" t="str">
        <f t="shared" si="205"/>
        <v/>
      </c>
      <c r="EK128" s="59" t="str">
        <f t="shared" si="206"/>
        <v/>
      </c>
      <c r="EL128" s="59" t="str">
        <f t="shared" si="207"/>
        <v/>
      </c>
      <c r="EM128" s="59" t="str">
        <f t="shared" si="208"/>
        <v/>
      </c>
      <c r="EN128" s="59" t="str">
        <f t="shared" si="209"/>
        <v/>
      </c>
      <c r="EO128" s="59" t="str">
        <f t="shared" si="210"/>
        <v/>
      </c>
      <c r="EP128" s="59" t="str">
        <f t="shared" si="211"/>
        <v/>
      </c>
      <c r="EQ128" s="59" t="str">
        <f t="shared" si="212"/>
        <v/>
      </c>
      <c r="ER128" s="59" t="str">
        <f t="shared" si="213"/>
        <v/>
      </c>
      <c r="ES128" s="59" t="str">
        <f t="shared" si="214"/>
        <v/>
      </c>
      <c r="ET128" s="59" t="str">
        <f t="shared" si="215"/>
        <v/>
      </c>
      <c r="EU128" s="59" t="str">
        <f t="shared" si="216"/>
        <v/>
      </c>
      <c r="EV128" s="59" t="str">
        <f t="shared" si="217"/>
        <v/>
      </c>
      <c r="EW128" s="59" t="str">
        <f t="shared" si="218"/>
        <v/>
      </c>
      <c r="EX128" s="56">
        <f t="shared" si="176"/>
        <v>1158459.6000000001</v>
      </c>
    </row>
    <row r="129" spans="1:154" x14ac:dyDescent="0.25">
      <c r="A129" s="2">
        <f t="shared" si="219"/>
        <v>128</v>
      </c>
      <c r="B129" s="2" t="s">
        <v>6</v>
      </c>
      <c r="C129" s="2" t="str">
        <f t="shared" si="177"/>
        <v>020811</v>
      </c>
      <c r="D129" s="2">
        <v>2</v>
      </c>
      <c r="E129" s="2">
        <v>8</v>
      </c>
      <c r="F129" s="2">
        <v>11</v>
      </c>
      <c r="G129" s="11" t="s">
        <v>11</v>
      </c>
      <c r="H129" s="4"/>
      <c r="I129" s="42" t="s">
        <v>58</v>
      </c>
      <c r="J129" s="9">
        <v>96.582999999999998</v>
      </c>
      <c r="K129" s="9"/>
      <c r="L129" s="10" t="s">
        <v>8</v>
      </c>
      <c r="M129" s="23" t="s">
        <v>177</v>
      </c>
      <c r="N129" s="7">
        <f t="shared" si="220"/>
        <v>1198015.3999999999</v>
      </c>
      <c r="O129" s="8">
        <v>167</v>
      </c>
      <c r="P129" s="25">
        <v>41212</v>
      </c>
      <c r="Q129" s="8" t="str">
        <f t="shared" si="178"/>
        <v>2DA-OCT</v>
      </c>
      <c r="R129" s="26">
        <v>0.1</v>
      </c>
      <c r="S129" s="41" t="s">
        <v>34</v>
      </c>
      <c r="T129" s="8" t="s">
        <v>353</v>
      </c>
      <c r="U129" s="8"/>
      <c r="V129" s="7">
        <v>599007.69999999995</v>
      </c>
      <c r="W129" s="7">
        <f t="shared" si="315"/>
        <v>239603.08</v>
      </c>
      <c r="X129" s="7">
        <f t="shared" si="179"/>
        <v>359404.62</v>
      </c>
      <c r="Y129" s="7">
        <v>0</v>
      </c>
      <c r="Z129" s="7">
        <f t="shared" si="180"/>
        <v>239603.08</v>
      </c>
      <c r="AA129" s="148" t="str">
        <f t="shared" si="181"/>
        <v>40%</v>
      </c>
      <c r="AB129" s="148">
        <f t="shared" si="182"/>
        <v>0.6</v>
      </c>
      <c r="AC129" s="25">
        <f ca="1">TODAY()-39</f>
        <v>41083</v>
      </c>
      <c r="AD129" s="25">
        <f t="shared" ref="AD129:AE129" ca="1" si="334">TODAY()-39</f>
        <v>41083</v>
      </c>
      <c r="AE129" s="25">
        <f t="shared" ca="1" si="334"/>
        <v>41083</v>
      </c>
      <c r="AF129" s="8"/>
      <c r="AG129" s="59" t="str">
        <f t="shared" ca="1" si="183"/>
        <v>NA</v>
      </c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59" t="str">
        <f t="shared" si="228"/>
        <v>NA</v>
      </c>
      <c r="AS129" s="59" t="str">
        <f t="shared" si="229"/>
        <v/>
      </c>
      <c r="AT129" s="59"/>
      <c r="AU129" s="59" t="str">
        <f t="shared" si="162"/>
        <v>ND</v>
      </c>
      <c r="AV129" s="66"/>
      <c r="AW129" s="66"/>
      <c r="AX129" s="66"/>
      <c r="AY129" s="66"/>
      <c r="AZ129" s="8"/>
      <c r="BA129" s="8" t="s">
        <v>37</v>
      </c>
      <c r="BB129" s="8"/>
      <c r="BC129" s="8"/>
      <c r="BD129" s="8"/>
      <c r="BE129" s="8"/>
      <c r="BF129" s="8"/>
      <c r="BG129" s="8"/>
      <c r="BH129" s="8"/>
      <c r="BI129" s="8"/>
      <c r="BJ129" s="8"/>
      <c r="BK129" s="59"/>
      <c r="BL129" s="59"/>
      <c r="BM129" s="59"/>
      <c r="BN129" s="164">
        <v>0.01</v>
      </c>
      <c r="BO129" s="165">
        <f t="shared" si="184"/>
        <v>3993.3846666666664</v>
      </c>
      <c r="BP129" s="165">
        <f t="shared" ref="BP129:BQ129" si="335">BO129</f>
        <v>3993.3846666666664</v>
      </c>
      <c r="BQ129" s="165">
        <f t="shared" si="335"/>
        <v>3993.3846666666664</v>
      </c>
      <c r="BR129" s="59"/>
      <c r="BS129" s="59"/>
      <c r="BT129" s="59"/>
      <c r="BU129" s="59"/>
      <c r="BV129" s="59" t="str">
        <f t="shared" si="223"/>
        <v>ND</v>
      </c>
      <c r="BW129" s="59" t="str">
        <f t="shared" si="224"/>
        <v>ND</v>
      </c>
      <c r="BX129" s="59" t="str">
        <f t="shared" si="225"/>
        <v>ND</v>
      </c>
      <c r="BY129" s="59" t="str">
        <f t="shared" si="226"/>
        <v>ND</v>
      </c>
      <c r="BZ129" s="59" t="str">
        <f t="shared" si="164"/>
        <v>NA</v>
      </c>
      <c r="CA129" s="59" t="str">
        <f t="shared" si="165"/>
        <v/>
      </c>
      <c r="CB129" s="59" t="str">
        <f t="shared" si="166"/>
        <v>NA</v>
      </c>
      <c r="CC129" s="59" t="str">
        <f t="shared" si="167"/>
        <v/>
      </c>
      <c r="CD129" s="59" t="str">
        <f t="shared" si="168"/>
        <v>NA</v>
      </c>
      <c r="CE129" s="59" t="str">
        <f t="shared" si="169"/>
        <v/>
      </c>
      <c r="CF129" s="59" t="str">
        <f t="shared" si="170"/>
        <v>NA</v>
      </c>
      <c r="CG129" s="59" t="str">
        <f t="shared" ca="1" si="171"/>
        <v>NA</v>
      </c>
      <c r="CH129" s="59" t="str">
        <f t="shared" ca="1" si="172"/>
        <v>NA</v>
      </c>
      <c r="CI129" s="59" t="str">
        <f t="shared" ca="1" si="173"/>
        <v>DE 36 A 45 DIAS</v>
      </c>
      <c r="CJ129" s="59" t="str">
        <f t="shared" ca="1" si="174"/>
        <v>DE 36 A 45 DIAS</v>
      </c>
      <c r="CK129" s="59" t="str">
        <f t="shared" ca="1" si="175"/>
        <v>DE 36 A 45 DIAS</v>
      </c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>
        <f t="shared" si="186"/>
        <v>0</v>
      </c>
      <c r="DH129" s="8">
        <f t="shared" si="187"/>
        <v>0</v>
      </c>
      <c r="DI129" s="8">
        <f t="shared" si="188"/>
        <v>0</v>
      </c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59" t="str">
        <f t="shared" si="189"/>
        <v>NA</v>
      </c>
      <c r="DU129" s="59" t="str">
        <f t="shared" si="190"/>
        <v>NA</v>
      </c>
      <c r="DV129" s="59" t="str">
        <f t="shared" si="191"/>
        <v>NA</v>
      </c>
      <c r="DW129" s="59" t="str">
        <f t="shared" si="192"/>
        <v>NA</v>
      </c>
      <c r="DX129" s="59" t="str">
        <f t="shared" si="193"/>
        <v>NA</v>
      </c>
      <c r="DY129" s="59" t="str">
        <f t="shared" si="194"/>
        <v>NA</v>
      </c>
      <c r="DZ129" s="59" t="str">
        <f t="shared" si="195"/>
        <v>NA</v>
      </c>
      <c r="EA129" s="59" t="str">
        <f t="shared" si="196"/>
        <v>NA</v>
      </c>
      <c r="EB129" s="59" t="str">
        <f t="shared" si="197"/>
        <v>NA</v>
      </c>
      <c r="EC129" s="59" t="str">
        <f t="shared" si="198"/>
        <v>NA</v>
      </c>
      <c r="ED129" s="59" t="str">
        <f t="shared" si="199"/>
        <v/>
      </c>
      <c r="EE129" s="59" t="str">
        <f t="shared" si="200"/>
        <v/>
      </c>
      <c r="EF129" s="59" t="str">
        <f t="shared" si="201"/>
        <v/>
      </c>
      <c r="EG129" s="59" t="str">
        <f t="shared" si="202"/>
        <v/>
      </c>
      <c r="EH129" s="59" t="str">
        <f t="shared" si="203"/>
        <v/>
      </c>
      <c r="EI129" s="59" t="str">
        <f t="shared" si="204"/>
        <v/>
      </c>
      <c r="EJ129" s="59" t="str">
        <f t="shared" si="205"/>
        <v/>
      </c>
      <c r="EK129" s="59" t="str">
        <f t="shared" si="206"/>
        <v/>
      </c>
      <c r="EL129" s="59" t="str">
        <f t="shared" si="207"/>
        <v/>
      </c>
      <c r="EM129" s="59" t="str">
        <f t="shared" si="208"/>
        <v/>
      </c>
      <c r="EN129" s="59" t="str">
        <f t="shared" si="209"/>
        <v/>
      </c>
      <c r="EO129" s="59" t="str">
        <f t="shared" si="210"/>
        <v/>
      </c>
      <c r="EP129" s="59" t="str">
        <f t="shared" si="211"/>
        <v/>
      </c>
      <c r="EQ129" s="59" t="str">
        <f t="shared" si="212"/>
        <v/>
      </c>
      <c r="ER129" s="59" t="str">
        <f t="shared" si="213"/>
        <v/>
      </c>
      <c r="ES129" s="59" t="str">
        <f t="shared" si="214"/>
        <v/>
      </c>
      <c r="ET129" s="59" t="str">
        <f t="shared" si="215"/>
        <v/>
      </c>
      <c r="EU129" s="59" t="str">
        <f t="shared" si="216"/>
        <v/>
      </c>
      <c r="EV129" s="59" t="str">
        <f t="shared" si="217"/>
        <v/>
      </c>
      <c r="EW129" s="59" t="str">
        <f t="shared" si="218"/>
        <v/>
      </c>
      <c r="EX129" s="56">
        <f t="shared" si="176"/>
        <v>1198015.3999999999</v>
      </c>
    </row>
    <row r="130" spans="1:154" x14ac:dyDescent="0.25">
      <c r="A130" s="2">
        <f t="shared" si="219"/>
        <v>129</v>
      </c>
      <c r="B130" s="2" t="s">
        <v>6</v>
      </c>
      <c r="C130" s="2" t="str">
        <f t="shared" si="177"/>
        <v>020812</v>
      </c>
      <c r="D130" s="2">
        <v>2</v>
      </c>
      <c r="E130" s="2">
        <v>8</v>
      </c>
      <c r="F130" s="2">
        <v>12</v>
      </c>
      <c r="G130" s="11" t="s">
        <v>16</v>
      </c>
      <c r="H130" s="4"/>
      <c r="I130" s="42" t="s">
        <v>58</v>
      </c>
      <c r="J130" s="9">
        <v>80</v>
      </c>
      <c r="K130" s="5"/>
      <c r="L130" s="6" t="s">
        <v>306</v>
      </c>
      <c r="M130" s="23" t="s">
        <v>177</v>
      </c>
      <c r="N130" s="7">
        <f t="shared" si="220"/>
        <v>1126000</v>
      </c>
      <c r="O130" s="8">
        <v>168</v>
      </c>
      <c r="P130" s="25">
        <v>41212</v>
      </c>
      <c r="Q130" s="8" t="str">
        <f t="shared" si="178"/>
        <v>2DA-OCT</v>
      </c>
      <c r="R130" s="26">
        <v>0.1</v>
      </c>
      <c r="S130" s="41" t="s">
        <v>34</v>
      </c>
      <c r="T130" s="8" t="s">
        <v>353</v>
      </c>
      <c r="U130" s="8"/>
      <c r="V130" s="7">
        <v>563000</v>
      </c>
      <c r="W130" s="7">
        <f>+V130*0.2</f>
        <v>112600</v>
      </c>
      <c r="X130" s="7">
        <f t="shared" si="179"/>
        <v>450400</v>
      </c>
      <c r="Y130" s="7">
        <v>0</v>
      </c>
      <c r="Z130" s="7">
        <f t="shared" si="180"/>
        <v>112600</v>
      </c>
      <c r="AA130" s="148" t="str">
        <f t="shared" si="181"/>
        <v>20%</v>
      </c>
      <c r="AB130" s="148">
        <f t="shared" si="182"/>
        <v>0.8</v>
      </c>
      <c r="AC130" s="25">
        <f ca="1">TODAY()-45</f>
        <v>41077</v>
      </c>
      <c r="AD130" s="25">
        <f t="shared" ref="AD130:AE130" ca="1" si="336">TODAY()-45</f>
        <v>41077</v>
      </c>
      <c r="AE130" s="25">
        <f t="shared" ca="1" si="336"/>
        <v>41077</v>
      </c>
      <c r="AF130" s="8"/>
      <c r="AG130" s="59" t="str">
        <f t="shared" ca="1" si="183"/>
        <v>NA</v>
      </c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59" t="str">
        <f t="shared" si="228"/>
        <v>NA</v>
      </c>
      <c r="AS130" s="59" t="str">
        <f t="shared" si="229"/>
        <v/>
      </c>
      <c r="AT130" s="59"/>
      <c r="AU130" s="59" t="str">
        <f t="shared" ref="AU130:AU193" si="337">IF(AT130=0,"ND",(IF(AT130&gt;0,IF(AT130&lt;=12000,"HASTA 12 MIL",""),""))&amp;IF(AT130&gt;12000,IF(AT130&lt;=18000,"ENTRE 12 Y 18 MIL",""),""))&amp;IF(AT130&gt;18000,IF(AT130&lt;=25000,"ENTRE 18 Y 25 MIL",""),"")&amp;IF(AT130&gt;25000,IF(AT130&lt;=35000,"ENTRE 25 Y 35 MIL",""),"")&amp;IF(AT130&gt;35000,IF(AT130&lt;=45000,"ENTRE 35 Y 45 MIL",""),"")&amp;IF(AT130&gt;45000,"MAYOR A 45 MILES","")</f>
        <v>ND</v>
      </c>
      <c r="AV130" s="66"/>
      <c r="AW130" s="66"/>
      <c r="AX130" s="66"/>
      <c r="AY130" s="66"/>
      <c r="AZ130" s="8"/>
      <c r="BA130" s="8" t="s">
        <v>37</v>
      </c>
      <c r="BB130" s="8"/>
      <c r="BC130" s="8"/>
      <c r="BD130" s="8"/>
      <c r="BE130" s="8"/>
      <c r="BF130" s="8"/>
      <c r="BG130" s="8"/>
      <c r="BH130" s="8"/>
      <c r="BI130" s="8"/>
      <c r="BJ130" s="8"/>
      <c r="BK130" s="59"/>
      <c r="BL130" s="59"/>
      <c r="BM130" s="59"/>
      <c r="BN130" s="164">
        <v>0.01</v>
      </c>
      <c r="BO130" s="165">
        <f t="shared" si="184"/>
        <v>3753.3333333333335</v>
      </c>
      <c r="BP130" s="165">
        <f t="shared" ref="BP130:BQ130" si="338">BO130</f>
        <v>3753.3333333333335</v>
      </c>
      <c r="BQ130" s="165">
        <f t="shared" si="338"/>
        <v>3753.3333333333335</v>
      </c>
      <c r="BR130" s="59"/>
      <c r="BS130" s="59"/>
      <c r="BT130" s="59"/>
      <c r="BU130" s="59"/>
      <c r="BV130" s="59" t="str">
        <f t="shared" si="223"/>
        <v>ND</v>
      </c>
      <c r="BW130" s="59" t="str">
        <f t="shared" si="224"/>
        <v>ND</v>
      </c>
      <c r="BX130" s="59" t="str">
        <f t="shared" si="225"/>
        <v>ND</v>
      </c>
      <c r="BY130" s="59" t="str">
        <f t="shared" si="226"/>
        <v>ND</v>
      </c>
      <c r="BZ130" s="59" t="str">
        <f t="shared" ref="BZ130:BZ193" si="339">IF(AZ130=0,"NA","SEM "&amp;WEEKNUM(AZ130))</f>
        <v>NA</v>
      </c>
      <c r="CA130" s="59" t="str">
        <f t="shared" ref="CA130:CA193" si="340">IF(AZ130=0,"",IF(MONTH(AZ130)=1,"ENE","")&amp;IF(MONTH(AZ130)=2,"FEB","")&amp;IF(MONTH(AZ130)=3,"MAR","")&amp;IF(MONTH(AZ130)=4,"ABR","")&amp;IF(MONTH(AZ130)=5,"MAY","")&amp;IF(MONTH(AZ130)=6,"JUN","")&amp;IF(MONTH(AZ130)=7,"JUL","")&amp;IF(MONTH(AZ130)=8,"AGO","")&amp;IF(MONTH(AZ130)=9,"SEP","")&amp;IF(MONTH(AZ130)=10,"OCT","")&amp;IF(MONTH(AZ130)=11,"NOV","")&amp;IF(MONTH(AZ130)=12,"DIC",""))</f>
        <v/>
      </c>
      <c r="CB130" s="59" t="str">
        <f t="shared" ref="CB130:CB193" si="341">IF(BF130=0,"NA","SEM "&amp;WEEKNUM(BF130))</f>
        <v>NA</v>
      </c>
      <c r="CC130" s="59" t="str">
        <f t="shared" ref="CC130:CC193" si="342">IF(BF130=0,"",IF(MONTH(BF130)=1,"ENE","")&amp;IF(MONTH(BF130)=2,"FEB","")&amp;IF(MONTH(BF130)=3,"MAR","")&amp;IF(MONTH(BF130)=4,"ABR","")&amp;IF(MONTH(BF130)=5,"MAY","")&amp;IF(MONTH(BF130)=6,"JUN","")&amp;IF(MONTH(BF130)=7,"JUL","")&amp;IF(MONTH(BF130)=8,"AGO","")&amp;IF(MONTH(BF130)=9,"SEP","")&amp;IF(MONTH(BF130)=10,"OCT","")&amp;IF(MONTH(BF130)=11,"NOV","")&amp;IF(MONTH(BF130)=12,"DIC",""))</f>
        <v/>
      </c>
      <c r="CD130" s="59" t="str">
        <f t="shared" ref="CD130:CD193" si="343">IF(BJ130=0,"NA","SEM "&amp;WEEKNUM(BJ130))</f>
        <v>NA</v>
      </c>
      <c r="CE130" s="59" t="str">
        <f t="shared" ref="CE130:CE193" si="344">IF(BJ130=0,"",IF(MONTH(BJ130)=1,"ENE","")&amp;IF(MONTH(BJ130)=2,"FEB","")&amp;IF(MONTH(BJ130)=3,"MAR","")&amp;IF(MONTH(BJ130)=4,"ABR","")&amp;IF(MONTH(BJ130)=5,"MAY","")&amp;IF(MONTH(BJ130)=6,"JUN","")&amp;IF(MONTH(BJ130)=7,"JUL","")&amp;IF(MONTH(BJ130)=8,"AGO","")&amp;IF(MONTH(BJ130)=9,"SEP","")&amp;IF(MONTH(BJ130)=10,"OCT","")&amp;IF(MONTH(BJ130)=11,"NOV","")&amp;IF(MONTH(BJ130)=12,"DIC",""))</f>
        <v/>
      </c>
      <c r="CF130" s="59" t="str">
        <f t="shared" ref="CF130:CF193" si="345">IF(OR(BA130="FIRMADO",BA130="COBRADO"),IF(BF130=0,"",IF(DAY(BF130)&lt;16,"1RA","2DA")&amp;"-"&amp;(IF(MONTH(BF130)=1,"ENE","")&amp;IF(MONTH(BF130)=2,"FEB","")&amp;IF(MONTH(BF130)=3,"MAR","")&amp;IF(MONTH(BF130)=4,"ABR","")&amp;IF(MONTH(BF130)=5,"MAY","")&amp;IF(MONTH(BF130)=6,"JUN","")&amp;IF(MONTH(BF130)=7,"JUL","")&amp;IF(MONTH(BF130)=8,"AGO","")&amp;IF(MONTH(BF130)=9,"SEP","")&amp;IF(MONTH(BF130)=10,"OCT","")&amp;IF(MONTH(BF130)=11,"NOV","")&amp;IF(MONTH(BF130)=12,"DIC",""))),IF(BA130="SIN CLIENTE","NA",IF(BC130=0,"",IF(DAY(BC130)&lt;16,"1RA","2DA")&amp;"-"&amp;(IF(MONTH(BC130)=1,"ENE","")&amp;IF(MONTH(BC130)=2,"FEB","")&amp;IF(MONTH(BC130)=3,"MAR","")&amp;IF(MONTH(BC130)=4,"ABR","")&amp;IF(MONTH(BC130)=5,"MAY","")&amp;IF(MONTH(BC130)=6,"JUN","")&amp;IF(MONTH(BC130)=7,"JUL","")&amp;IF(MONTH(BC130)=8,"AGO","")&amp;IF(MONTH(BC130)=9,"SEP","")&amp;IF(MONTH(BC130)=10,"OCT","")&amp;IF(MONTH(BC130)=11,"NOV","")&amp;IF(MONTH(BC130)=12,"DIC","")))))</f>
        <v>NA</v>
      </c>
      <c r="CG130" s="59" t="str">
        <f t="shared" ref="CG130:CG193" ca="1" si="346">IF(AZ130=0,"NA",IF(TODAY()-AZ130&lt;=3,"HASTA 3 DIAS","")&amp;IF(TODAY()-AZ130&gt;3,IF(TODAY()-AZ130&lt;=7,"1RA SEM",""),"")&amp;IF(TODAY()-AZ130&gt;7,IF(TODAY()-AZ130&lt;=14,"2DA SEM",""),"")&amp;IF(TODAY()-AZ130&gt;14,IF(TODAY()-AZ130&lt;=21,"3RA SEM",""),"")&amp;IF(TODAY()-AZ130&gt;21,IF(TODAY()-AZ130&lt;=28,"4TA SEM",""),"")&amp;IF(TODAY()-AZ130&gt;28,IF(TODAY()-AZ130&lt;=35,"5TA SEM",""),"")&amp;IF(TODAY()-AZ130&gt;35,IF(TODAY()-AZ130&lt;=42,"6TA SEM",""),"")&amp;IF(TODAY()-AZ130&gt;42,IF(TODAY()-AZ130&lt;=49,"7MA SEM",""),"")&amp;IF(TODAY()-AZ130&gt;49,IF(TODAY()-AZ130&lt;=56,"8VA SEM",""),"")&amp;IF(TODAY()-AZ130&gt;56,"MAYOR A 2 MESES",""))</f>
        <v>NA</v>
      </c>
      <c r="CH130" s="59" t="str">
        <f t="shared" ref="CH130:CH193" ca="1" si="347">IF(BF130=0,"NA",IF(TODAY()-BF130&lt;=3,"HASTA 3 DIAS","")&amp;IF(TODAY()-BF130&gt;3,IF(TODAY()-BF130&lt;=7,"1RA SEM",""),"")&amp;IF(TODAY()-BF130&gt;7,IF(TODAY()-BF130&lt;=14,"2DA SEM",""),"")&amp;IF(TODAY()-BF130&gt;14,IF(TODAY()-BF130&lt;=21,"3RA SEM",""),"")&amp;IF(TODAY()-BF130&gt;21,IF(TODAY()-BF130&lt;=28,"4TA SEM",""),"")&amp;IF(TODAY()-BF130&gt;28,IF(TODAY()-BF130&lt;=35,"5TA SEM",""),"")&amp;IF(TODAY()-BF130&gt;35,IF(TODAY()-BF130&lt;=42,"6TA SEM",""),"")&amp;IF(TODAY()-BF130&gt;42,IF(TODAY()-BF130&lt;=49,"7MA SEM",""),"")&amp;IF(TODAY()-BF130&gt;49,IF(TODAY()-BF130&lt;=56,"8VA SEM",""),"")&amp;IF(TODAY()-BF130&gt;56,"MAYOR A 2 MESES",""))</f>
        <v>NA</v>
      </c>
      <c r="CI130" s="59" t="str">
        <f t="shared" ref="CI130:CI193" ca="1" si="348">IF(AC130=0,"ND",IF(TODAY()-AC130&lt;=5,"HASTA 5 DIAS","")&amp;IF(TODAY()-AC130&gt;5,IF(TODAY()-AC130&lt;=10,"DE 6 A 10 DIAS",""),"")&amp;IF(TODAY()-AC130&gt;10,IF(TODAY()-AC130&lt;=15,"DE 11 A 15 DIAS",""),"")&amp;IF(TODAY()-AC130&gt;15,IF(TODAY()-AC130&lt;=20,"DE 16 A 20 DIAS",""),"")&amp;IF(TODAY()-AC130&gt;20,IF(TODAY()-AC130&lt;=25,"DE 21 A 25 DIAS",""),"")&amp;IF(TODAY()-AC130&gt;25,IF(TODAY()-AC130&lt;=29,"DE 26 A 29 DIAS",""),"")&amp;IF(TODAY()-AC130=30,"30 DIAS","")&amp;IF(TODAY()-AC130&gt;30,IF(TODAY()-AC130&lt;=35,"DE 31 A 35 DIAS",""),"")&amp;IF(TODAY()-AC130&gt;35,IF(TODAY()-AC130&lt;=45,"DE 36 A 45 DIAS",""),"")&amp;IF(TODAY()-AC130&gt;45,"MAYOR A 45 DIAS",""))</f>
        <v>DE 36 A 45 DIAS</v>
      </c>
      <c r="CJ130" s="59" t="str">
        <f t="shared" ref="CJ130:CJ193" ca="1" si="349">IF(AD130=0,"ND",IF(TODAY()-AD130&lt;=5,"HASTA 5 DIAS","")&amp;IF(TODAY()-AD130&gt;5,IF(TODAY()-AD130&lt;=10,"DE 6 A 10 DIAS",""),"")&amp;IF(TODAY()-AD130&gt;10,IF(TODAY()-AD130&lt;=15,"DE 11 A 15 DIAS",""),"")&amp;IF(TODAY()-AD130&gt;15,IF(TODAY()-AD130&lt;=20,"DE 16 A 20 DIAS",""),"")&amp;IF(TODAY()-AD130&gt;20,IF(TODAY()-AD130&lt;=25,"DE 21 A 25 DIAS",""),"")&amp;IF(TODAY()-AD130&gt;25,IF(TODAY()-AD130&lt;=29,"DE 26 A 29 DIAS",""),"")&amp;IF(TODAY()-AD130=30,"30 DIAS","")&amp;IF(TODAY()-AD130&gt;30,IF(TODAY()-AD130&lt;=35,"DE 31 A 35 DIAS",""),"")&amp;IF(TODAY()-AD130&gt;35,IF(TODAY()-AD130&lt;=45,"DE 36 A 45 DIAS",""),"")&amp;IF(TODAY()-AD130&gt;45,"MAYOR A 45 DIAS",""))</f>
        <v>DE 36 A 45 DIAS</v>
      </c>
      <c r="CK130" s="59" t="str">
        <f t="shared" ref="CK130:CK193" ca="1" si="350">IF(AE130=0,"ND",IF(TODAY()-AE130&lt;=5,"HASTA 5 DIAS","")&amp;IF(TODAY()-AE130&gt;5,IF(TODAY()-AE130&lt;=10,"DE 6 A 10 DIAS",""),"")&amp;IF(TODAY()-AE130&gt;10,IF(TODAY()-AE130&lt;=15,"DE 11 A 15 DIAS",""),"")&amp;IF(TODAY()-AE130&gt;15,IF(TODAY()-AE130&lt;=20,"DE 16 A 20 DIAS",""),"")&amp;IF(TODAY()-AE130&gt;20,IF(TODAY()-AE130&lt;=25,"DE 21 A 25 DIAS",""),"")&amp;IF(TODAY()-AE130&gt;25,IF(TODAY()-AE130&lt;=29,"DE 26 A 29 DIAS",""),"")&amp;IF(TODAY()-AE130=30,"30 DIAS","")&amp;IF(TODAY()-AE130&gt;30,IF(TODAY()-AE130&lt;=35,"DE 31 A 35 DIAS",""),"")&amp;IF(TODAY()-AE130&gt;35,IF(TODAY()-AE130&lt;=45,"DE 36 A 45 DIAS",""),"")&amp;IF(TODAY()-AE130&gt;45,"MAYOR A 45 DIAS",""))</f>
        <v>DE 36 A 45 DIAS</v>
      </c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>
        <f t="shared" si="186"/>
        <v>0</v>
      </c>
      <c r="DH130" s="8">
        <f t="shared" si="187"/>
        <v>0</v>
      </c>
      <c r="DI130" s="8">
        <f t="shared" si="188"/>
        <v>0</v>
      </c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59" t="str">
        <f t="shared" si="189"/>
        <v>NA</v>
      </c>
      <c r="DU130" s="59" t="str">
        <f t="shared" si="190"/>
        <v>NA</v>
      </c>
      <c r="DV130" s="59" t="str">
        <f t="shared" si="191"/>
        <v>NA</v>
      </c>
      <c r="DW130" s="59" t="str">
        <f t="shared" si="192"/>
        <v>NA</v>
      </c>
      <c r="DX130" s="59" t="str">
        <f t="shared" si="193"/>
        <v>NA</v>
      </c>
      <c r="DY130" s="59" t="str">
        <f t="shared" si="194"/>
        <v>NA</v>
      </c>
      <c r="DZ130" s="59" t="str">
        <f t="shared" si="195"/>
        <v>NA</v>
      </c>
      <c r="EA130" s="59" t="str">
        <f t="shared" si="196"/>
        <v>NA</v>
      </c>
      <c r="EB130" s="59" t="str">
        <f t="shared" si="197"/>
        <v>NA</v>
      </c>
      <c r="EC130" s="59" t="str">
        <f t="shared" si="198"/>
        <v>NA</v>
      </c>
      <c r="ED130" s="59" t="str">
        <f t="shared" si="199"/>
        <v/>
      </c>
      <c r="EE130" s="59" t="str">
        <f t="shared" si="200"/>
        <v/>
      </c>
      <c r="EF130" s="59" t="str">
        <f t="shared" si="201"/>
        <v/>
      </c>
      <c r="EG130" s="59" t="str">
        <f t="shared" si="202"/>
        <v/>
      </c>
      <c r="EH130" s="59" t="str">
        <f t="shared" si="203"/>
        <v/>
      </c>
      <c r="EI130" s="59" t="str">
        <f t="shared" si="204"/>
        <v/>
      </c>
      <c r="EJ130" s="59" t="str">
        <f t="shared" si="205"/>
        <v/>
      </c>
      <c r="EK130" s="59" t="str">
        <f t="shared" si="206"/>
        <v/>
      </c>
      <c r="EL130" s="59" t="str">
        <f t="shared" si="207"/>
        <v/>
      </c>
      <c r="EM130" s="59" t="str">
        <f t="shared" si="208"/>
        <v/>
      </c>
      <c r="EN130" s="59" t="str">
        <f t="shared" si="209"/>
        <v/>
      </c>
      <c r="EO130" s="59" t="str">
        <f t="shared" si="210"/>
        <v/>
      </c>
      <c r="EP130" s="59" t="str">
        <f t="shared" si="211"/>
        <v/>
      </c>
      <c r="EQ130" s="59" t="str">
        <f t="shared" si="212"/>
        <v/>
      </c>
      <c r="ER130" s="59" t="str">
        <f t="shared" si="213"/>
        <v/>
      </c>
      <c r="ES130" s="59" t="str">
        <f t="shared" si="214"/>
        <v/>
      </c>
      <c r="ET130" s="59" t="str">
        <f t="shared" si="215"/>
        <v/>
      </c>
      <c r="EU130" s="59" t="str">
        <f t="shared" si="216"/>
        <v/>
      </c>
      <c r="EV130" s="59" t="str">
        <f t="shared" si="217"/>
        <v/>
      </c>
      <c r="EW130" s="59" t="str">
        <f t="shared" si="218"/>
        <v/>
      </c>
      <c r="EX130" s="56">
        <f t="shared" ref="EX130:EX193" si="351">-(CL130+CM130+CN130+CO130+CP130+CQ130+CR130+CS130+CT130+CU130+CV130-N130)</f>
        <v>1126000</v>
      </c>
    </row>
    <row r="131" spans="1:154" x14ac:dyDescent="0.25">
      <c r="A131" s="2">
        <f t="shared" si="219"/>
        <v>130</v>
      </c>
      <c r="B131" s="2" t="s">
        <v>6</v>
      </c>
      <c r="C131" s="2" t="str">
        <f t="shared" ref="C131:C194" si="352">TEXT(D131,"00")&amp;TEXT(E131,"00")&amp;TEXT(F131,"00")</f>
        <v>020813</v>
      </c>
      <c r="D131" s="2">
        <v>2</v>
      </c>
      <c r="E131" s="2">
        <v>8</v>
      </c>
      <c r="F131" s="2">
        <v>13</v>
      </c>
      <c r="G131" s="11" t="s">
        <v>16</v>
      </c>
      <c r="H131" s="4"/>
      <c r="I131" s="42" t="s">
        <v>58</v>
      </c>
      <c r="J131" s="9">
        <v>80</v>
      </c>
      <c r="K131" s="5"/>
      <c r="L131" s="6" t="s">
        <v>306</v>
      </c>
      <c r="M131" s="23" t="s">
        <v>177</v>
      </c>
      <c r="N131" s="7">
        <f t="shared" si="220"/>
        <v>1126000</v>
      </c>
      <c r="O131" s="8">
        <v>169</v>
      </c>
      <c r="P131" s="25">
        <v>41212</v>
      </c>
      <c r="Q131" s="8" t="str">
        <f t="shared" ref="Q131:Q194" si="353">IF(DAY(P131)&lt;15,"1RA","2DA")&amp;"-"&amp;(IF(MONTH(P131)=1,"ENE","")&amp;IF(MONTH(P131)=2,"FEB","")&amp;IF(MONTH(P131)=3,"MAR","")&amp;IF(MONTH(P131)=4,"ABR","")&amp;IF(MONTH(P131)=5,"MAY","")&amp;IF(MONTH(P131)=6,"JUN","")&amp;IF(MONTH(P131)=7,"JUL","")&amp;IF(MONTH(P131)=8,"AGO","")&amp;IF(MONTH(P131)=9,"SEP","")&amp;IF(MONTH(P131)=10,"OCT","")&amp;IF(MONTH(P131)=11,"NOV","")&amp;IF(MONTH(P131)=12,"DIC",""))</f>
        <v>2DA-OCT</v>
      </c>
      <c r="R131" s="26">
        <v>0.1</v>
      </c>
      <c r="S131" s="41" t="s">
        <v>34</v>
      </c>
      <c r="T131" s="8" t="s">
        <v>353</v>
      </c>
      <c r="U131" s="8"/>
      <c r="V131" s="7">
        <v>563000</v>
      </c>
      <c r="W131" s="7">
        <f t="shared" ref="W131:W140" si="354">+V131*0.2</f>
        <v>112600</v>
      </c>
      <c r="X131" s="7">
        <f t="shared" ref="X131:X194" si="355">IF(S131="LIBERADO",0,V131-W131)</f>
        <v>450400</v>
      </c>
      <c r="Y131" s="7">
        <v>0</v>
      </c>
      <c r="Z131" s="7">
        <f t="shared" ref="Z131:Z194" si="356">W131-Y131</f>
        <v>112600</v>
      </c>
      <c r="AA131" s="148" t="str">
        <f t="shared" ref="AA131:AA194" si="357">IF(W131/V131&lt;=5%,"5%","")&amp;IF(W131/V131&gt;5%,IF(W131/V131&lt;=10%,"10%",""),"")&amp;IF(W131/V131&gt;10%,IF(W131/V131&lt;=15%,"15%",""),"")&amp;IF(W131/V131&gt;15%,IF(W131/V131&lt;=20%,"20%",""),"")&amp;IF(W131/V131&gt;20%,IF(W131/V131&lt;=25%,"25%",""),"")&amp;IF(W131/V131&gt;25%,IF(W131/V131&lt;=30%,"30%",""),"")&amp;IF(W131/V131&gt;30%,IF(W131/V131&lt;=35%,"35%",""),"")&amp;IF(W131/V131&gt;35%,IF(W131/V131&lt;=40%,"40%",""),"")&amp;IF(W131/V131&gt;40%,IF(W131/V131&lt;=45%,"45%",""),"")&amp;IF(W131/V131&gt;45%,IF(W131/V131&lt;=50%,"50%",""),"")&amp;IF(W131/V131&gt;50%,IF(W131/V131&lt;=55%,"55%",""),"")&amp;IF(W131/V131&gt;55%,IF(W131/V131&lt;=60%,"60%",""),"")&amp;IF(W131/V131&gt;60%,IF(W131/V131&lt;=65%,"65%",""),"")&amp;IF(W131/V131&gt;65%,IF(W131/V131&lt;=70%,"70%",""),"")&amp;IF(W131/V131&gt;70%,IF(W131/V131&lt;=75%,"75%",""),"")&amp;IF(W131/V131&gt;75%,IF(W131/V131&lt;=80%,"80%",""),"")&amp;IF(W131/V131&gt;80%,IF(W131/V131&lt;=85%,"85%",""),"")&amp;IF(W131/V131&gt;85%,IF(W131/V131&lt;=90%,"90%",""),"")&amp;IF(W131/V131&gt;90%,IF(W131/V131&lt;=95%,"95%",""),"")&amp;IF(W131/V131&gt;95%,IF(W131/V131&lt;=99%,"99%",""),"")&amp;IF(W131/V131&gt;=100%,"100%","")</f>
        <v>20%</v>
      </c>
      <c r="AB131" s="148">
        <f t="shared" ref="AB131:AB194" si="358">1-AA131</f>
        <v>0.8</v>
      </c>
      <c r="AC131" s="25">
        <f ca="1">TODAY()-50</f>
        <v>41072</v>
      </c>
      <c r="AD131" s="25">
        <f t="shared" ref="AD131:AE131" ca="1" si="359">TODAY()-50</f>
        <v>41072</v>
      </c>
      <c r="AE131" s="25">
        <f t="shared" ca="1" si="359"/>
        <v>41072</v>
      </c>
      <c r="AF131" s="8"/>
      <c r="AG131" s="59" t="str">
        <f t="shared" ref="AG131:AG194" ca="1" si="360">IF(AF131="","NA",IF(TODAY()-AF131&lt;=3,"HASTA 3 DIAS","")&amp;IF(TODAY()-AF131&gt;3,IF(TODAY()-AF131&lt;=7,"1RA SEM",""),"")&amp;IF(TODAY()-AF131&gt;7,IF(TODAY()-AF131&lt;=14,"2DA SEM",""),"")&amp;IF(TODAY()-AF131&gt;14,IF(TODAY()-AF131&lt;=21,"3RA SEM",""),"")&amp;IF(TODAY()-AF131&gt;21,IF(TODAY()-AF131&lt;=28,"4TA SEM",""),"")&amp;IF(TODAY()-AF131&gt;28,IF(TODAY()-AF131&lt;=35,"5TA SEM",""),"")&amp;IF(TODAY()-AF131&gt;35,IF(TODAY()-AF131&lt;=42,"6TA SEM",""),"")&amp;IF(TODAY()-AF131&gt;42,IF(TODAY()-AF131&lt;=49,"7MA SEM",""),"")&amp;IF(TODAY()-AF131&gt;49,IF(TODAY()-AF131&lt;=56,"8VA SEM",""),"")&amp;IF(TODAY()-AF131&gt;56,"MAYOR A 2 MESES",""))</f>
        <v>NA</v>
      </c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59" t="str">
        <f t="shared" si="228"/>
        <v>NA</v>
      </c>
      <c r="AS131" s="59" t="str">
        <f t="shared" si="229"/>
        <v/>
      </c>
      <c r="AT131" s="59"/>
      <c r="AU131" s="59" t="str">
        <f t="shared" si="337"/>
        <v>ND</v>
      </c>
      <c r="AV131" s="66"/>
      <c r="AW131" s="66"/>
      <c r="AX131" s="66"/>
      <c r="AY131" s="66"/>
      <c r="AZ131" s="8"/>
      <c r="BA131" s="8" t="s">
        <v>37</v>
      </c>
      <c r="BB131" s="8"/>
      <c r="BC131" s="8"/>
      <c r="BD131" s="8"/>
      <c r="BE131" s="8"/>
      <c r="BF131" s="8"/>
      <c r="BG131" s="8"/>
      <c r="BH131" s="8"/>
      <c r="BI131" s="8"/>
      <c r="BJ131" s="8"/>
      <c r="BK131" s="59"/>
      <c r="BL131" s="59"/>
      <c r="BM131" s="59"/>
      <c r="BN131" s="164">
        <v>0.01</v>
      </c>
      <c r="BO131" s="165">
        <f t="shared" ref="BO131:BO194" si="361">(BN131*SUM(CL131:CV131,EX131))/3</f>
        <v>3753.3333333333335</v>
      </c>
      <c r="BP131" s="165">
        <f t="shared" ref="BP131:BQ131" si="362">BO131</f>
        <v>3753.3333333333335</v>
      </c>
      <c r="BQ131" s="165">
        <f t="shared" si="362"/>
        <v>3753.3333333333335</v>
      </c>
      <c r="BR131" s="59"/>
      <c r="BS131" s="59"/>
      <c r="BT131" s="59"/>
      <c r="BU131" s="59"/>
      <c r="BV131" s="59" t="str">
        <f t="shared" si="223"/>
        <v>ND</v>
      </c>
      <c r="BW131" s="59" t="str">
        <f t="shared" si="224"/>
        <v>ND</v>
      </c>
      <c r="BX131" s="59" t="str">
        <f t="shared" si="225"/>
        <v>ND</v>
      </c>
      <c r="BY131" s="59" t="str">
        <f t="shared" si="226"/>
        <v>ND</v>
      </c>
      <c r="BZ131" s="59" t="str">
        <f t="shared" si="339"/>
        <v>NA</v>
      </c>
      <c r="CA131" s="59" t="str">
        <f t="shared" si="340"/>
        <v/>
      </c>
      <c r="CB131" s="59" t="str">
        <f t="shared" si="341"/>
        <v>NA</v>
      </c>
      <c r="CC131" s="59" t="str">
        <f t="shared" si="342"/>
        <v/>
      </c>
      <c r="CD131" s="59" t="str">
        <f t="shared" si="343"/>
        <v>NA</v>
      </c>
      <c r="CE131" s="59" t="str">
        <f t="shared" si="344"/>
        <v/>
      </c>
      <c r="CF131" s="59" t="str">
        <f t="shared" si="345"/>
        <v>NA</v>
      </c>
      <c r="CG131" s="59" t="str">
        <f t="shared" ca="1" si="346"/>
        <v>NA</v>
      </c>
      <c r="CH131" s="59" t="str">
        <f t="shared" ca="1" si="347"/>
        <v>NA</v>
      </c>
      <c r="CI131" s="59" t="str">
        <f t="shared" ca="1" si="348"/>
        <v>MAYOR A 45 DIAS</v>
      </c>
      <c r="CJ131" s="59" t="str">
        <f t="shared" ca="1" si="349"/>
        <v>MAYOR A 45 DIAS</v>
      </c>
      <c r="CK131" s="59" t="str">
        <f t="shared" ca="1" si="350"/>
        <v>MAYOR A 45 DIAS</v>
      </c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>
        <f t="shared" ref="DG131:DG194" si="363">IF(CW131="VIGENTE",CM131,0)+IF(CX131="VIGENTE",CN131,0)+IF(CY131="VIGENTE",CO131,0)+IF(CZ131="VIGENTE",CP131,0)+IF(DA131="VIGENTE",CQ131,0)+IF(DB131="VIGENTE",CR131,0)+IF(DC131="VIGENTE",CS131,0)+IF(DD131="VIGENTE",CT131,0)+IF(DE131="VIGENTE",CU131,0)+IF(DF131="VIGENTE",CV131,0)</f>
        <v>0</v>
      </c>
      <c r="DH131" s="8">
        <f t="shared" ref="DH131:DH194" si="364">IF(CW131="PAGADO",CM131,0)+IF(CX131="PAGADO",CN131,0)+IF(CY131="PAGADO",CO131,0)+IF(CZ131="PAGADO",CP131,0)+IF(DA131="PAGADO",CQ131,0)+IF(DB131="PAGADO",CR131,0)+IF(DC131="PAGADO",CS131,0)+IF(DD131="PAGADO",CT131,0)+IF(DE131="PAGADO",CU131,0)+IF(DF131="PAGADO",CV131,0)</f>
        <v>0</v>
      </c>
      <c r="DI131" s="8">
        <f t="shared" ref="DI131:DI194" si="365">IF(CW131="VENCIDO",CM131,0)+IF(CX131="VENCIDO",CN131,0)+IF(CY131="VENCIDO",CO131,0)+IF(CZ131="VENCIDO",CP131,0)+IF(DA131="VENCIDO",CQ131,0)+IF(DB131="VENCIDO",CR131,0)+IF(DC131="VENCIDO",CS131,0)+IF(DD131="VENCIDO",CT131,0)+IF(DE131="VENCIDO",CU131,0)+IF(DF131="VENCIDO",CV131,0)</f>
        <v>0</v>
      </c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59" t="str">
        <f t="shared" ref="DT131:DT194" si="366">IF(DJ131=0,"NA","SEM "&amp;WEEKNUM(DJ131))</f>
        <v>NA</v>
      </c>
      <c r="DU131" s="59" t="str">
        <f t="shared" ref="DU131:DU194" si="367">IF(DK131=0,"NA","SEM "&amp;WEEKNUM(DK131))</f>
        <v>NA</v>
      </c>
      <c r="DV131" s="59" t="str">
        <f t="shared" ref="DV131:DV194" si="368">IF(DL131=0,"NA","SEM "&amp;WEEKNUM(DL131))</f>
        <v>NA</v>
      </c>
      <c r="DW131" s="59" t="str">
        <f t="shared" ref="DW131:DW194" si="369">IF(DM131=0,"NA","SEM "&amp;WEEKNUM(DM131))</f>
        <v>NA</v>
      </c>
      <c r="DX131" s="59" t="str">
        <f t="shared" ref="DX131:DX194" si="370">IF(DN131=0,"NA","SEM "&amp;WEEKNUM(DN131))</f>
        <v>NA</v>
      </c>
      <c r="DY131" s="59" t="str">
        <f t="shared" ref="DY131:DY194" si="371">IF(DO131=0,"NA","SEM "&amp;WEEKNUM(DO131))</f>
        <v>NA</v>
      </c>
      <c r="DZ131" s="59" t="str">
        <f t="shared" ref="DZ131:DZ194" si="372">IF(DP131=0,"NA","SEM "&amp;WEEKNUM(DP131))</f>
        <v>NA</v>
      </c>
      <c r="EA131" s="59" t="str">
        <f t="shared" ref="EA131:EA194" si="373">IF(DQ131=0,"NA","SEM "&amp;WEEKNUM(DQ131))</f>
        <v>NA</v>
      </c>
      <c r="EB131" s="59" t="str">
        <f t="shared" ref="EB131:EB194" si="374">IF(DR131=0,"NA","SEM "&amp;WEEKNUM(DR131))</f>
        <v>NA</v>
      </c>
      <c r="EC131" s="59" t="str">
        <f t="shared" ref="EC131:EC194" si="375">IF(DS131=0,"NA","SEM "&amp;WEEKNUM(DS131))</f>
        <v>NA</v>
      </c>
      <c r="ED131" s="59" t="str">
        <f t="shared" ref="ED131:ED194" si="376">IF(DJ131=0,"",IF(MONTH(DJ131)=1,"ENE","")&amp;IF(MONTH(DJ131)=2,"FEB","")&amp;IF(MONTH(DJ131)=3,"MAR","")&amp;IF(MONTH(DJ131)=4,"ABR","")&amp;IF(MONTH(DJ131)=5,"MAY","")&amp;IF(MONTH(DJ131)=6,"JUN","")&amp;IF(MONTH(DJ131)=7,"JUL","")&amp;IF(MONTH(DJ131)=8,"AGO","")&amp;IF(MONTH(DJ131)=9,"SEP","")&amp;IF(MONTH(DJ131)=10,"OCT","")&amp;IF(MONTH(DJ131)=11,"NOV","")&amp;IF(MONTH(DJ131)=12,"DIC",""))</f>
        <v/>
      </c>
      <c r="EE131" s="59" t="str">
        <f t="shared" ref="EE131:EE194" si="377">IF(DK131=0,"",IF(MONTH(DK131)=1,"ENE","")&amp;IF(MONTH(DK131)=2,"FEB","")&amp;IF(MONTH(DK131)=3,"MAR","")&amp;IF(MONTH(DK131)=4,"ABR","")&amp;IF(MONTH(DK131)=5,"MAY","")&amp;IF(MONTH(DK131)=6,"JUN","")&amp;IF(MONTH(DK131)=7,"JUL","")&amp;IF(MONTH(DK131)=8,"AGO","")&amp;IF(MONTH(DK131)=9,"SEP","")&amp;IF(MONTH(DK131)=10,"OCT","")&amp;IF(MONTH(DK131)=11,"NOV","")&amp;IF(MONTH(DK131)=12,"DIC",""))</f>
        <v/>
      </c>
      <c r="EF131" s="59" t="str">
        <f t="shared" ref="EF131:EF194" si="378">IF(DL131=0,"",IF(MONTH(DL131)=1,"ENE","")&amp;IF(MONTH(DL131)=2,"FEB","")&amp;IF(MONTH(DL131)=3,"MAR","")&amp;IF(MONTH(DL131)=4,"ABR","")&amp;IF(MONTH(DL131)=5,"MAY","")&amp;IF(MONTH(DL131)=6,"JUN","")&amp;IF(MONTH(DL131)=7,"JUL","")&amp;IF(MONTH(DL131)=8,"AGO","")&amp;IF(MONTH(DL131)=9,"SEP","")&amp;IF(MONTH(DL131)=10,"OCT","")&amp;IF(MONTH(DL131)=11,"NOV","")&amp;IF(MONTH(DL131)=12,"DIC",""))</f>
        <v/>
      </c>
      <c r="EG131" s="59" t="str">
        <f t="shared" ref="EG131:EG194" si="379">IF(DM131=0,"",IF(MONTH(DM131)=1,"ENE","")&amp;IF(MONTH(DM131)=2,"FEB","")&amp;IF(MONTH(DM131)=3,"MAR","")&amp;IF(MONTH(DM131)=4,"ABR","")&amp;IF(MONTH(DM131)=5,"MAY","")&amp;IF(MONTH(DM131)=6,"JUN","")&amp;IF(MONTH(DM131)=7,"JUL","")&amp;IF(MONTH(DM131)=8,"AGO","")&amp;IF(MONTH(DM131)=9,"SEP","")&amp;IF(MONTH(DM131)=10,"OCT","")&amp;IF(MONTH(DM131)=11,"NOV","")&amp;IF(MONTH(DM131)=12,"DIC",""))</f>
        <v/>
      </c>
      <c r="EH131" s="59" t="str">
        <f t="shared" ref="EH131:EH194" si="380">IF(DN131=0,"",IF(MONTH(DN131)=1,"ENE","")&amp;IF(MONTH(DN131)=2,"FEB","")&amp;IF(MONTH(DN131)=3,"MAR","")&amp;IF(MONTH(DN131)=4,"ABR","")&amp;IF(MONTH(DN131)=5,"MAY","")&amp;IF(MONTH(DN131)=6,"JUN","")&amp;IF(MONTH(DN131)=7,"JUL","")&amp;IF(MONTH(DN131)=8,"AGO","")&amp;IF(MONTH(DN131)=9,"SEP","")&amp;IF(MONTH(DN131)=10,"OCT","")&amp;IF(MONTH(DN131)=11,"NOV","")&amp;IF(MONTH(DN131)=12,"DIC",""))</f>
        <v/>
      </c>
      <c r="EI131" s="59" t="str">
        <f t="shared" ref="EI131:EI194" si="381">IF(DO131=0,"",IF(MONTH(DO131)=1,"ENE","")&amp;IF(MONTH(DO131)=2,"FEB","")&amp;IF(MONTH(DO131)=3,"MAR","")&amp;IF(MONTH(DO131)=4,"ABR","")&amp;IF(MONTH(DO131)=5,"MAY","")&amp;IF(MONTH(DO131)=6,"JUN","")&amp;IF(MONTH(DO131)=7,"JUL","")&amp;IF(MONTH(DO131)=8,"AGO","")&amp;IF(MONTH(DO131)=9,"SEP","")&amp;IF(MONTH(DO131)=10,"OCT","")&amp;IF(MONTH(DO131)=11,"NOV","")&amp;IF(MONTH(DO131)=12,"DIC",""))</f>
        <v/>
      </c>
      <c r="EJ131" s="59" t="str">
        <f t="shared" ref="EJ131:EJ194" si="382">IF(DP131=0,"",IF(MONTH(DP131)=1,"ENE","")&amp;IF(MONTH(DP131)=2,"FEB","")&amp;IF(MONTH(DP131)=3,"MAR","")&amp;IF(MONTH(DP131)=4,"ABR","")&amp;IF(MONTH(DP131)=5,"MAY","")&amp;IF(MONTH(DP131)=6,"JUN","")&amp;IF(MONTH(DP131)=7,"JUL","")&amp;IF(MONTH(DP131)=8,"AGO","")&amp;IF(MONTH(DP131)=9,"SEP","")&amp;IF(MONTH(DP131)=10,"OCT","")&amp;IF(MONTH(DP131)=11,"NOV","")&amp;IF(MONTH(DP131)=12,"DIC",""))</f>
        <v/>
      </c>
      <c r="EK131" s="59" t="str">
        <f t="shared" ref="EK131:EK194" si="383">IF(DQ131=0,"",IF(MONTH(DQ131)=1,"ENE","")&amp;IF(MONTH(DQ131)=2,"FEB","")&amp;IF(MONTH(DQ131)=3,"MAR","")&amp;IF(MONTH(DQ131)=4,"ABR","")&amp;IF(MONTH(DQ131)=5,"MAY","")&amp;IF(MONTH(DQ131)=6,"JUN","")&amp;IF(MONTH(DQ131)=7,"JUL","")&amp;IF(MONTH(DQ131)=8,"AGO","")&amp;IF(MONTH(DQ131)=9,"SEP","")&amp;IF(MONTH(DQ131)=10,"OCT","")&amp;IF(MONTH(DQ131)=11,"NOV","")&amp;IF(MONTH(DQ131)=12,"DIC",""))</f>
        <v/>
      </c>
      <c r="EL131" s="59" t="str">
        <f t="shared" ref="EL131:EL194" si="384">IF(DR131=0,"",IF(MONTH(DR131)=1,"ENE","")&amp;IF(MONTH(DR131)=2,"FEB","")&amp;IF(MONTH(DR131)=3,"MAR","")&amp;IF(MONTH(DR131)=4,"ABR","")&amp;IF(MONTH(DR131)=5,"MAY","")&amp;IF(MONTH(DR131)=6,"JUN","")&amp;IF(MONTH(DR131)=7,"JUL","")&amp;IF(MONTH(DR131)=8,"AGO","")&amp;IF(MONTH(DR131)=9,"SEP","")&amp;IF(MONTH(DR131)=10,"OCT","")&amp;IF(MONTH(DR131)=11,"NOV","")&amp;IF(MONTH(DR131)=12,"DIC",""))</f>
        <v/>
      </c>
      <c r="EM131" s="59" t="str">
        <f t="shared" ref="EM131:EM194" si="385">IF(DS131=0,"",IF(MONTH(DS131)=1,"ENE","")&amp;IF(MONTH(DS131)=2,"FEB","")&amp;IF(MONTH(DS131)=3,"MAR","")&amp;IF(MONTH(DS131)=4,"ABR","")&amp;IF(MONTH(DS131)=5,"MAY","")&amp;IF(MONTH(DS131)=6,"JUN","")&amp;IF(MONTH(DS131)=7,"JUL","")&amp;IF(MONTH(DS131)=8,"AGO","")&amp;IF(MONTH(DS131)=9,"SEP","")&amp;IF(MONTH(DS131)=10,"OCT","")&amp;IF(MONTH(DS131)=11,"NOV","")&amp;IF(MONTH(DS131)=12,"DIC",""))</f>
        <v/>
      </c>
      <c r="EN131" s="59" t="str">
        <f t="shared" ref="EN131:EN194" si="386">IF(DJ131=0,"",YEAR(DJ131))</f>
        <v/>
      </c>
      <c r="EO131" s="59" t="str">
        <f t="shared" ref="EO131:EO194" si="387">IF(DK131=0,"",YEAR(DK131))</f>
        <v/>
      </c>
      <c r="EP131" s="59" t="str">
        <f t="shared" ref="EP131:EP194" si="388">IF(DL131=0,"",YEAR(DL131))</f>
        <v/>
      </c>
      <c r="EQ131" s="59" t="str">
        <f t="shared" ref="EQ131:EQ194" si="389">IF(DM131=0,"",YEAR(DM131))</f>
        <v/>
      </c>
      <c r="ER131" s="59" t="str">
        <f t="shared" ref="ER131:ER194" si="390">IF(DN131=0,"",YEAR(DN131))</f>
        <v/>
      </c>
      <c r="ES131" s="59" t="str">
        <f t="shared" ref="ES131:ES194" si="391">IF(DO131=0,"",YEAR(DO131))</f>
        <v/>
      </c>
      <c r="ET131" s="59" t="str">
        <f t="shared" ref="ET131:ET194" si="392">IF(DP131=0,"",YEAR(DP131))</f>
        <v/>
      </c>
      <c r="EU131" s="59" t="str">
        <f t="shared" ref="EU131:EU194" si="393">IF(DQ131=0,"",YEAR(DQ131))</f>
        <v/>
      </c>
      <c r="EV131" s="59" t="str">
        <f t="shared" ref="EV131:EV194" si="394">IF(DR131=0,"",YEAR(DR131))</f>
        <v/>
      </c>
      <c r="EW131" s="59" t="str">
        <f t="shared" ref="EW131:EW194" si="395">IF(DS131=0,"",YEAR(DS131))</f>
        <v/>
      </c>
      <c r="EX131" s="56">
        <f t="shared" si="351"/>
        <v>1126000</v>
      </c>
    </row>
    <row r="132" spans="1:154" x14ac:dyDescent="0.25">
      <c r="A132" s="2">
        <f t="shared" ref="A132:A195" si="396">A131+1</f>
        <v>131</v>
      </c>
      <c r="B132" s="2" t="s">
        <v>6</v>
      </c>
      <c r="C132" s="2" t="str">
        <f t="shared" si="352"/>
        <v>020814</v>
      </c>
      <c r="D132" s="2">
        <v>2</v>
      </c>
      <c r="E132" s="2">
        <v>8</v>
      </c>
      <c r="F132" s="2">
        <v>14</v>
      </c>
      <c r="G132" s="11" t="s">
        <v>16</v>
      </c>
      <c r="H132" s="4"/>
      <c r="I132" s="42" t="s">
        <v>58</v>
      </c>
      <c r="J132" s="9">
        <v>80</v>
      </c>
      <c r="K132" s="9"/>
      <c r="L132" s="10" t="s">
        <v>8</v>
      </c>
      <c r="M132" s="23" t="s">
        <v>177</v>
      </c>
      <c r="N132" s="7">
        <f t="shared" ref="N132:N195" si="397">IF(L132="AKUA",1126000+((J132-80)*3800),1135000+((J132-80)*3800))</f>
        <v>1135000</v>
      </c>
      <c r="O132" s="8">
        <v>170</v>
      </c>
      <c r="P132" s="25">
        <v>41212</v>
      </c>
      <c r="Q132" s="8" t="str">
        <f t="shared" si="353"/>
        <v>2DA-OCT</v>
      </c>
      <c r="R132" s="26">
        <v>0.1</v>
      </c>
      <c r="S132" s="41" t="s">
        <v>34</v>
      </c>
      <c r="T132" s="8" t="s">
        <v>353</v>
      </c>
      <c r="U132" s="8"/>
      <c r="V132" s="7">
        <v>567500</v>
      </c>
      <c r="W132" s="7">
        <f t="shared" si="354"/>
        <v>113500</v>
      </c>
      <c r="X132" s="7">
        <f t="shared" si="355"/>
        <v>454000</v>
      </c>
      <c r="Y132" s="7">
        <v>0</v>
      </c>
      <c r="Z132" s="7">
        <f t="shared" si="356"/>
        <v>113500</v>
      </c>
      <c r="AA132" s="148" t="str">
        <f t="shared" si="357"/>
        <v>20%</v>
      </c>
      <c r="AB132" s="148">
        <f t="shared" si="358"/>
        <v>0.8</v>
      </c>
      <c r="AC132" s="25">
        <f ca="1">TODAY()-4</f>
        <v>41118</v>
      </c>
      <c r="AD132" s="25">
        <f t="shared" ref="AD132:AE132" ca="1" si="398">TODAY()-4</f>
        <v>41118</v>
      </c>
      <c r="AE132" s="25">
        <f t="shared" ca="1" si="398"/>
        <v>41118</v>
      </c>
      <c r="AF132" s="8"/>
      <c r="AG132" s="59" t="str">
        <f t="shared" ca="1" si="360"/>
        <v>NA</v>
      </c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59" t="str">
        <f t="shared" si="228"/>
        <v>NA</v>
      </c>
      <c r="AS132" s="59" t="str">
        <f t="shared" si="229"/>
        <v/>
      </c>
      <c r="AT132" s="59"/>
      <c r="AU132" s="59" t="str">
        <f t="shared" si="337"/>
        <v>ND</v>
      </c>
      <c r="AV132" s="66"/>
      <c r="AW132" s="66"/>
      <c r="AX132" s="66"/>
      <c r="AY132" s="66"/>
      <c r="AZ132" s="8"/>
      <c r="BA132" s="8" t="s">
        <v>37</v>
      </c>
      <c r="BB132" s="8"/>
      <c r="BC132" s="8"/>
      <c r="BD132" s="8"/>
      <c r="BE132" s="8"/>
      <c r="BF132" s="8"/>
      <c r="BG132" s="8"/>
      <c r="BH132" s="8"/>
      <c r="BI132" s="8"/>
      <c r="BJ132" s="8"/>
      <c r="BK132" s="59"/>
      <c r="BL132" s="59"/>
      <c r="BM132" s="59"/>
      <c r="BN132" s="164">
        <v>0.01</v>
      </c>
      <c r="BO132" s="165">
        <f t="shared" si="361"/>
        <v>3783.3333333333335</v>
      </c>
      <c r="BP132" s="165">
        <f t="shared" ref="BP132:BQ132" si="399">BO132</f>
        <v>3783.3333333333335</v>
      </c>
      <c r="BQ132" s="165">
        <f t="shared" si="399"/>
        <v>3783.3333333333335</v>
      </c>
      <c r="BR132" s="59"/>
      <c r="BS132" s="59"/>
      <c r="BT132" s="59"/>
      <c r="BU132" s="59"/>
      <c r="BV132" s="59" t="str">
        <f t="shared" si="223"/>
        <v>ND</v>
      </c>
      <c r="BW132" s="59" t="str">
        <f t="shared" si="224"/>
        <v>ND</v>
      </c>
      <c r="BX132" s="59" t="str">
        <f t="shared" si="225"/>
        <v>ND</v>
      </c>
      <c r="BY132" s="59" t="str">
        <f t="shared" si="226"/>
        <v>ND</v>
      </c>
      <c r="BZ132" s="59" t="str">
        <f t="shared" si="339"/>
        <v>NA</v>
      </c>
      <c r="CA132" s="59" t="str">
        <f t="shared" si="340"/>
        <v/>
      </c>
      <c r="CB132" s="59" t="str">
        <f t="shared" si="341"/>
        <v>NA</v>
      </c>
      <c r="CC132" s="59" t="str">
        <f t="shared" si="342"/>
        <v/>
      </c>
      <c r="CD132" s="59" t="str">
        <f t="shared" si="343"/>
        <v>NA</v>
      </c>
      <c r="CE132" s="59" t="str">
        <f t="shared" si="344"/>
        <v/>
      </c>
      <c r="CF132" s="59" t="str">
        <f t="shared" si="345"/>
        <v>NA</v>
      </c>
      <c r="CG132" s="59" t="str">
        <f t="shared" ca="1" si="346"/>
        <v>NA</v>
      </c>
      <c r="CH132" s="59" t="str">
        <f t="shared" ca="1" si="347"/>
        <v>NA</v>
      </c>
      <c r="CI132" s="59" t="str">
        <f t="shared" ca="1" si="348"/>
        <v>HASTA 5 DIAS</v>
      </c>
      <c r="CJ132" s="59" t="str">
        <f t="shared" ca="1" si="349"/>
        <v>HASTA 5 DIAS</v>
      </c>
      <c r="CK132" s="59" t="str">
        <f t="shared" ca="1" si="350"/>
        <v>HASTA 5 DIAS</v>
      </c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>
        <f t="shared" si="363"/>
        <v>0</v>
      </c>
      <c r="DH132" s="8">
        <f t="shared" si="364"/>
        <v>0</v>
      </c>
      <c r="DI132" s="8">
        <f t="shared" si="365"/>
        <v>0</v>
      </c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59" t="str">
        <f t="shared" si="366"/>
        <v>NA</v>
      </c>
      <c r="DU132" s="59" t="str">
        <f t="shared" si="367"/>
        <v>NA</v>
      </c>
      <c r="DV132" s="59" t="str">
        <f t="shared" si="368"/>
        <v>NA</v>
      </c>
      <c r="DW132" s="59" t="str">
        <f t="shared" si="369"/>
        <v>NA</v>
      </c>
      <c r="DX132" s="59" t="str">
        <f t="shared" si="370"/>
        <v>NA</v>
      </c>
      <c r="DY132" s="59" t="str">
        <f t="shared" si="371"/>
        <v>NA</v>
      </c>
      <c r="DZ132" s="59" t="str">
        <f t="shared" si="372"/>
        <v>NA</v>
      </c>
      <c r="EA132" s="59" t="str">
        <f t="shared" si="373"/>
        <v>NA</v>
      </c>
      <c r="EB132" s="59" t="str">
        <f t="shared" si="374"/>
        <v>NA</v>
      </c>
      <c r="EC132" s="59" t="str">
        <f t="shared" si="375"/>
        <v>NA</v>
      </c>
      <c r="ED132" s="59" t="str">
        <f t="shared" si="376"/>
        <v/>
      </c>
      <c r="EE132" s="59" t="str">
        <f t="shared" si="377"/>
        <v/>
      </c>
      <c r="EF132" s="59" t="str">
        <f t="shared" si="378"/>
        <v/>
      </c>
      <c r="EG132" s="59" t="str">
        <f t="shared" si="379"/>
        <v/>
      </c>
      <c r="EH132" s="59" t="str">
        <f t="shared" si="380"/>
        <v/>
      </c>
      <c r="EI132" s="59" t="str">
        <f t="shared" si="381"/>
        <v/>
      </c>
      <c r="EJ132" s="59" t="str">
        <f t="shared" si="382"/>
        <v/>
      </c>
      <c r="EK132" s="59" t="str">
        <f t="shared" si="383"/>
        <v/>
      </c>
      <c r="EL132" s="59" t="str">
        <f t="shared" si="384"/>
        <v/>
      </c>
      <c r="EM132" s="59" t="str">
        <f t="shared" si="385"/>
        <v/>
      </c>
      <c r="EN132" s="59" t="str">
        <f t="shared" si="386"/>
        <v/>
      </c>
      <c r="EO132" s="59" t="str">
        <f t="shared" si="387"/>
        <v/>
      </c>
      <c r="EP132" s="59" t="str">
        <f t="shared" si="388"/>
        <v/>
      </c>
      <c r="EQ132" s="59" t="str">
        <f t="shared" si="389"/>
        <v/>
      </c>
      <c r="ER132" s="59" t="str">
        <f t="shared" si="390"/>
        <v/>
      </c>
      <c r="ES132" s="59" t="str">
        <f t="shared" si="391"/>
        <v/>
      </c>
      <c r="ET132" s="59" t="str">
        <f t="shared" si="392"/>
        <v/>
      </c>
      <c r="EU132" s="59" t="str">
        <f t="shared" si="393"/>
        <v/>
      </c>
      <c r="EV132" s="59" t="str">
        <f t="shared" si="394"/>
        <v/>
      </c>
      <c r="EW132" s="59" t="str">
        <f t="shared" si="395"/>
        <v/>
      </c>
      <c r="EX132" s="56">
        <f t="shared" si="351"/>
        <v>1135000</v>
      </c>
    </row>
    <row r="133" spans="1:154" x14ac:dyDescent="0.25">
      <c r="A133" s="2">
        <f t="shared" si="396"/>
        <v>132</v>
      </c>
      <c r="B133" s="2" t="s">
        <v>6</v>
      </c>
      <c r="C133" s="2" t="str">
        <f t="shared" si="352"/>
        <v>020815</v>
      </c>
      <c r="D133" s="2">
        <v>2</v>
      </c>
      <c r="E133" s="2">
        <v>8</v>
      </c>
      <c r="F133" s="2">
        <v>15</v>
      </c>
      <c r="G133" s="11" t="s">
        <v>16</v>
      </c>
      <c r="H133" s="4"/>
      <c r="I133" s="42" t="s">
        <v>58</v>
      </c>
      <c r="J133" s="9">
        <v>80</v>
      </c>
      <c r="K133" s="5"/>
      <c r="L133" s="6" t="s">
        <v>306</v>
      </c>
      <c r="M133" s="23" t="s">
        <v>177</v>
      </c>
      <c r="N133" s="7">
        <f t="shared" si="397"/>
        <v>1126000</v>
      </c>
      <c r="O133" s="8">
        <v>171</v>
      </c>
      <c r="P133" s="25">
        <v>41212</v>
      </c>
      <c r="Q133" s="8" t="str">
        <f t="shared" si="353"/>
        <v>2DA-OCT</v>
      </c>
      <c r="R133" s="26">
        <v>0.1</v>
      </c>
      <c r="S133" s="41" t="s">
        <v>34</v>
      </c>
      <c r="T133" s="8" t="s">
        <v>353</v>
      </c>
      <c r="U133" s="8"/>
      <c r="V133" s="7">
        <v>563000</v>
      </c>
      <c r="W133" s="7">
        <f t="shared" si="354"/>
        <v>112600</v>
      </c>
      <c r="X133" s="7">
        <f t="shared" si="355"/>
        <v>450400</v>
      </c>
      <c r="Y133" s="7">
        <v>0</v>
      </c>
      <c r="Z133" s="7">
        <f t="shared" si="356"/>
        <v>112600</v>
      </c>
      <c r="AA133" s="148" t="str">
        <f t="shared" si="357"/>
        <v>20%</v>
      </c>
      <c r="AB133" s="148">
        <f t="shared" si="358"/>
        <v>0.8</v>
      </c>
      <c r="AC133" s="25">
        <f ca="1">TODAY()-9</f>
        <v>41113</v>
      </c>
      <c r="AD133" s="25">
        <f t="shared" ref="AD133:AE133" ca="1" si="400">TODAY()-9</f>
        <v>41113</v>
      </c>
      <c r="AE133" s="25">
        <f t="shared" ca="1" si="400"/>
        <v>41113</v>
      </c>
      <c r="AF133" s="8"/>
      <c r="AG133" s="59" t="str">
        <f t="shared" ca="1" si="360"/>
        <v>NA</v>
      </c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59" t="str">
        <f t="shared" si="228"/>
        <v>NA</v>
      </c>
      <c r="AS133" s="59" t="str">
        <f t="shared" si="229"/>
        <v/>
      </c>
      <c r="AT133" s="59"/>
      <c r="AU133" s="59" t="str">
        <f t="shared" si="337"/>
        <v>ND</v>
      </c>
      <c r="AV133" s="66"/>
      <c r="AW133" s="66"/>
      <c r="AX133" s="66"/>
      <c r="AY133" s="66"/>
      <c r="AZ133" s="8"/>
      <c r="BA133" s="8" t="s">
        <v>37</v>
      </c>
      <c r="BB133" s="8"/>
      <c r="BC133" s="8"/>
      <c r="BD133" s="8"/>
      <c r="BE133" s="8"/>
      <c r="BF133" s="8"/>
      <c r="BG133" s="8"/>
      <c r="BH133" s="8"/>
      <c r="BI133" s="8"/>
      <c r="BJ133" s="8"/>
      <c r="BK133" s="59"/>
      <c r="BL133" s="59"/>
      <c r="BM133" s="59"/>
      <c r="BN133" s="164">
        <v>0.01</v>
      </c>
      <c r="BO133" s="165">
        <f t="shared" si="361"/>
        <v>3753.3333333333335</v>
      </c>
      <c r="BP133" s="165">
        <f t="shared" ref="BP133:BQ133" si="401">BO133</f>
        <v>3753.3333333333335</v>
      </c>
      <c r="BQ133" s="165">
        <f t="shared" si="401"/>
        <v>3753.3333333333335</v>
      </c>
      <c r="BR133" s="59"/>
      <c r="BS133" s="59"/>
      <c r="BT133" s="59"/>
      <c r="BU133" s="59"/>
      <c r="BV133" s="59" t="str">
        <f t="shared" ref="BV133:BV196" si="402">IF(BR133=0,"ND",IF(DAY(BR133)&lt;=13,"1ERA-",IF(DAY(BR133)&gt;13,"2DA-",""))&amp;(IF(MONTH(BR133)=1,"ENE","")&amp;IF(MONTH(BR133)=2,"FEB","")&amp;IF(MONTH(BR133)=3,"MAR","")&amp;IF(MONTH(BR133)=4,"ABR","")&amp;IF(MONTH(BR133)=5,"MAY","")&amp;IF(MONTH(BR133)=6,"JUN","")&amp;IF(MONTH(BR133)=7,"JUL","")&amp;IF(MONTH(BR133)=8,"AGO","")&amp;IF(MONTH(BR133)=9,"SEP","")&amp;IF(MONTH(BR133)=10,"OCT","")&amp;IF(MONTH(BR133)=11,"NOV","")&amp;IF(MONTH(BR133)=12,"DIC",""))&amp;"-"&amp;YEAR(BR133))</f>
        <v>ND</v>
      </c>
      <c r="BW133" s="59" t="str">
        <f t="shared" ref="BW133:BW196" si="403">IF(BS133=0,"ND",IF(DAY(BS133)&lt;=13,"1ERA-",IF(DAY(BS133)&gt;13,"2DA-",""))&amp;(IF(MONTH(BS133)=1,"ENE","")&amp;IF(MONTH(BS133)=2,"FEB","")&amp;IF(MONTH(BS133)=3,"MAR","")&amp;IF(MONTH(BS133)=4,"ABR","")&amp;IF(MONTH(BS133)=5,"MAY","")&amp;IF(MONTH(BS133)=6,"JUN","")&amp;IF(MONTH(BS133)=7,"JUL","")&amp;IF(MONTH(BS133)=8,"AGO","")&amp;IF(MONTH(BS133)=9,"SEP","")&amp;IF(MONTH(BS133)=10,"OCT","")&amp;IF(MONTH(BS133)=11,"NOV","")&amp;IF(MONTH(BS133)=12,"DIC",""))&amp;"-"&amp;YEAR(BS133))</f>
        <v>ND</v>
      </c>
      <c r="BX133" s="59" t="str">
        <f t="shared" ref="BX133:BX196" si="404">IF(BT133=0,"ND",IF(DAY(BT133)&lt;=13,"1ERA-",IF(DAY(BT133)&gt;13,"2DA-",""))&amp;(IF(MONTH(BT133)=1,"ENE","")&amp;IF(MONTH(BT133)=2,"FEB","")&amp;IF(MONTH(BT133)=3,"MAR","")&amp;IF(MONTH(BT133)=4,"ABR","")&amp;IF(MONTH(BT133)=5,"MAY","")&amp;IF(MONTH(BT133)=6,"JUN","")&amp;IF(MONTH(BT133)=7,"JUL","")&amp;IF(MONTH(BT133)=8,"AGO","")&amp;IF(MONTH(BT133)=9,"SEP","")&amp;IF(MONTH(BT133)=10,"OCT","")&amp;IF(MONTH(BT133)=11,"NOV","")&amp;IF(MONTH(BT133)=12,"DIC",""))&amp;"-"&amp;YEAR(BT133))</f>
        <v>ND</v>
      </c>
      <c r="BY133" s="59" t="str">
        <f t="shared" ref="BY133:BY196" si="405">IF(BU133=0,"ND",IF(DAY(BU133)&lt;=13,"1ERA-",IF(DAY(BU133)&gt;13,"2DA-",""))&amp;(IF(MONTH(BU133)=1,"ENE","")&amp;IF(MONTH(BU133)=2,"FEB","")&amp;IF(MONTH(BU133)=3,"MAR","")&amp;IF(MONTH(BU133)=4,"ABR","")&amp;IF(MONTH(BU133)=5,"MAY","")&amp;IF(MONTH(BU133)=6,"JUN","")&amp;IF(MONTH(BU133)=7,"JUL","")&amp;IF(MONTH(BU133)=8,"AGO","")&amp;IF(MONTH(BU133)=9,"SEP","")&amp;IF(MONTH(BU133)=10,"OCT","")&amp;IF(MONTH(BU133)=11,"NOV","")&amp;IF(MONTH(BU133)=12,"DIC",""))&amp;"-"&amp;YEAR(BU133))</f>
        <v>ND</v>
      </c>
      <c r="BZ133" s="59" t="str">
        <f t="shared" si="339"/>
        <v>NA</v>
      </c>
      <c r="CA133" s="59" t="str">
        <f t="shared" si="340"/>
        <v/>
      </c>
      <c r="CB133" s="59" t="str">
        <f t="shared" si="341"/>
        <v>NA</v>
      </c>
      <c r="CC133" s="59" t="str">
        <f t="shared" si="342"/>
        <v/>
      </c>
      <c r="CD133" s="59" t="str">
        <f t="shared" si="343"/>
        <v>NA</v>
      </c>
      <c r="CE133" s="59" t="str">
        <f t="shared" si="344"/>
        <v/>
      </c>
      <c r="CF133" s="59" t="str">
        <f t="shared" si="345"/>
        <v>NA</v>
      </c>
      <c r="CG133" s="59" t="str">
        <f t="shared" ca="1" si="346"/>
        <v>NA</v>
      </c>
      <c r="CH133" s="59" t="str">
        <f t="shared" ca="1" si="347"/>
        <v>NA</v>
      </c>
      <c r="CI133" s="59" t="str">
        <f t="shared" ca="1" si="348"/>
        <v>DE 6 A 10 DIAS</v>
      </c>
      <c r="CJ133" s="59" t="str">
        <f t="shared" ca="1" si="349"/>
        <v>DE 6 A 10 DIAS</v>
      </c>
      <c r="CK133" s="59" t="str">
        <f t="shared" ca="1" si="350"/>
        <v>DE 6 A 10 DIAS</v>
      </c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>
        <f t="shared" si="363"/>
        <v>0</v>
      </c>
      <c r="DH133" s="8">
        <f t="shared" si="364"/>
        <v>0</v>
      </c>
      <c r="DI133" s="8">
        <f t="shared" si="365"/>
        <v>0</v>
      </c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59" t="str">
        <f t="shared" si="366"/>
        <v>NA</v>
      </c>
      <c r="DU133" s="59" t="str">
        <f t="shared" si="367"/>
        <v>NA</v>
      </c>
      <c r="DV133" s="59" t="str">
        <f t="shared" si="368"/>
        <v>NA</v>
      </c>
      <c r="DW133" s="59" t="str">
        <f t="shared" si="369"/>
        <v>NA</v>
      </c>
      <c r="DX133" s="59" t="str">
        <f t="shared" si="370"/>
        <v>NA</v>
      </c>
      <c r="DY133" s="59" t="str">
        <f t="shared" si="371"/>
        <v>NA</v>
      </c>
      <c r="DZ133" s="59" t="str">
        <f t="shared" si="372"/>
        <v>NA</v>
      </c>
      <c r="EA133" s="59" t="str">
        <f t="shared" si="373"/>
        <v>NA</v>
      </c>
      <c r="EB133" s="59" t="str">
        <f t="shared" si="374"/>
        <v>NA</v>
      </c>
      <c r="EC133" s="59" t="str">
        <f t="shared" si="375"/>
        <v>NA</v>
      </c>
      <c r="ED133" s="59" t="str">
        <f t="shared" si="376"/>
        <v/>
      </c>
      <c r="EE133" s="59" t="str">
        <f t="shared" si="377"/>
        <v/>
      </c>
      <c r="EF133" s="59" t="str">
        <f t="shared" si="378"/>
        <v/>
      </c>
      <c r="EG133" s="59" t="str">
        <f t="shared" si="379"/>
        <v/>
      </c>
      <c r="EH133" s="59" t="str">
        <f t="shared" si="380"/>
        <v/>
      </c>
      <c r="EI133" s="59" t="str">
        <f t="shared" si="381"/>
        <v/>
      </c>
      <c r="EJ133" s="59" t="str">
        <f t="shared" si="382"/>
        <v/>
      </c>
      <c r="EK133" s="59" t="str">
        <f t="shared" si="383"/>
        <v/>
      </c>
      <c r="EL133" s="59" t="str">
        <f t="shared" si="384"/>
        <v/>
      </c>
      <c r="EM133" s="59" t="str">
        <f t="shared" si="385"/>
        <v/>
      </c>
      <c r="EN133" s="59" t="str">
        <f t="shared" si="386"/>
        <v/>
      </c>
      <c r="EO133" s="59" t="str">
        <f t="shared" si="387"/>
        <v/>
      </c>
      <c r="EP133" s="59" t="str">
        <f t="shared" si="388"/>
        <v/>
      </c>
      <c r="EQ133" s="59" t="str">
        <f t="shared" si="389"/>
        <v/>
      </c>
      <c r="ER133" s="59" t="str">
        <f t="shared" si="390"/>
        <v/>
      </c>
      <c r="ES133" s="59" t="str">
        <f t="shared" si="391"/>
        <v/>
      </c>
      <c r="ET133" s="59" t="str">
        <f t="shared" si="392"/>
        <v/>
      </c>
      <c r="EU133" s="59" t="str">
        <f t="shared" si="393"/>
        <v/>
      </c>
      <c r="EV133" s="59" t="str">
        <f t="shared" si="394"/>
        <v/>
      </c>
      <c r="EW133" s="59" t="str">
        <f t="shared" si="395"/>
        <v/>
      </c>
      <c r="EX133" s="56">
        <f t="shared" si="351"/>
        <v>1126000</v>
      </c>
    </row>
    <row r="134" spans="1:154" x14ac:dyDescent="0.25">
      <c r="A134" s="2">
        <f t="shared" si="396"/>
        <v>133</v>
      </c>
      <c r="B134" s="2" t="s">
        <v>6</v>
      </c>
      <c r="C134" s="2" t="str">
        <f t="shared" si="352"/>
        <v>020816</v>
      </c>
      <c r="D134" s="2">
        <v>2</v>
      </c>
      <c r="E134" s="2">
        <v>8</v>
      </c>
      <c r="F134" s="2">
        <v>16</v>
      </c>
      <c r="G134" s="11" t="s">
        <v>16</v>
      </c>
      <c r="H134" s="4"/>
      <c r="I134" s="42" t="s">
        <v>58</v>
      </c>
      <c r="J134" s="9">
        <v>80</v>
      </c>
      <c r="K134" s="5"/>
      <c r="L134" s="6" t="s">
        <v>306</v>
      </c>
      <c r="M134" s="23" t="s">
        <v>177</v>
      </c>
      <c r="N134" s="7">
        <f t="shared" si="397"/>
        <v>1126000</v>
      </c>
      <c r="O134" s="8">
        <v>172</v>
      </c>
      <c r="P134" s="25">
        <v>41212</v>
      </c>
      <c r="Q134" s="8" t="str">
        <f t="shared" si="353"/>
        <v>2DA-OCT</v>
      </c>
      <c r="R134" s="26">
        <v>0.1</v>
      </c>
      <c r="S134" s="41" t="s">
        <v>34</v>
      </c>
      <c r="T134" s="8" t="s">
        <v>353</v>
      </c>
      <c r="U134" s="8"/>
      <c r="V134" s="7">
        <v>563000</v>
      </c>
      <c r="W134" s="7">
        <f t="shared" si="354"/>
        <v>112600</v>
      </c>
      <c r="X134" s="7">
        <f t="shared" si="355"/>
        <v>450400</v>
      </c>
      <c r="Y134" s="7">
        <v>0</v>
      </c>
      <c r="Z134" s="7">
        <f t="shared" si="356"/>
        <v>112600</v>
      </c>
      <c r="AA134" s="148" t="str">
        <f t="shared" si="357"/>
        <v>20%</v>
      </c>
      <c r="AB134" s="148">
        <f t="shared" si="358"/>
        <v>0.8</v>
      </c>
      <c r="AC134" s="25">
        <f ca="1">TODAY()-14</f>
        <v>41108</v>
      </c>
      <c r="AD134" s="25">
        <f t="shared" ref="AD134:AE134" ca="1" si="406">TODAY()-14</f>
        <v>41108</v>
      </c>
      <c r="AE134" s="25">
        <f t="shared" ca="1" si="406"/>
        <v>41108</v>
      </c>
      <c r="AF134" s="8"/>
      <c r="AG134" s="59" t="str">
        <f t="shared" ca="1" si="360"/>
        <v>NA</v>
      </c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59" t="str">
        <f t="shared" si="228"/>
        <v>NA</v>
      </c>
      <c r="AS134" s="59" t="str">
        <f t="shared" si="229"/>
        <v/>
      </c>
      <c r="AT134" s="59"/>
      <c r="AU134" s="59" t="str">
        <f t="shared" si="337"/>
        <v>ND</v>
      </c>
      <c r="AV134" s="66"/>
      <c r="AW134" s="66"/>
      <c r="AX134" s="66"/>
      <c r="AY134" s="66"/>
      <c r="AZ134" s="8"/>
      <c r="BA134" s="8" t="s">
        <v>37</v>
      </c>
      <c r="BB134" s="8"/>
      <c r="BC134" s="8"/>
      <c r="BD134" s="8"/>
      <c r="BE134" s="8"/>
      <c r="BF134" s="8"/>
      <c r="BG134" s="8"/>
      <c r="BH134" s="8"/>
      <c r="BI134" s="8"/>
      <c r="BJ134" s="8"/>
      <c r="BK134" s="59"/>
      <c r="BL134" s="59"/>
      <c r="BM134" s="59"/>
      <c r="BN134" s="164">
        <v>0.01</v>
      </c>
      <c r="BO134" s="165">
        <f t="shared" si="361"/>
        <v>3753.3333333333335</v>
      </c>
      <c r="BP134" s="165">
        <f t="shared" ref="BP134:BQ134" si="407">BO134</f>
        <v>3753.3333333333335</v>
      </c>
      <c r="BQ134" s="165">
        <f t="shared" si="407"/>
        <v>3753.3333333333335</v>
      </c>
      <c r="BR134" s="59"/>
      <c r="BS134" s="59"/>
      <c r="BT134" s="59"/>
      <c r="BU134" s="59"/>
      <c r="BV134" s="59" t="str">
        <f t="shared" si="402"/>
        <v>ND</v>
      </c>
      <c r="BW134" s="59" t="str">
        <f t="shared" si="403"/>
        <v>ND</v>
      </c>
      <c r="BX134" s="59" t="str">
        <f t="shared" si="404"/>
        <v>ND</v>
      </c>
      <c r="BY134" s="59" t="str">
        <f t="shared" si="405"/>
        <v>ND</v>
      </c>
      <c r="BZ134" s="59" t="str">
        <f t="shared" si="339"/>
        <v>NA</v>
      </c>
      <c r="CA134" s="59" t="str">
        <f t="shared" si="340"/>
        <v/>
      </c>
      <c r="CB134" s="59" t="str">
        <f t="shared" si="341"/>
        <v>NA</v>
      </c>
      <c r="CC134" s="59" t="str">
        <f t="shared" si="342"/>
        <v/>
      </c>
      <c r="CD134" s="59" t="str">
        <f t="shared" si="343"/>
        <v>NA</v>
      </c>
      <c r="CE134" s="59" t="str">
        <f t="shared" si="344"/>
        <v/>
      </c>
      <c r="CF134" s="59" t="str">
        <f t="shared" si="345"/>
        <v>NA</v>
      </c>
      <c r="CG134" s="59" t="str">
        <f t="shared" ca="1" si="346"/>
        <v>NA</v>
      </c>
      <c r="CH134" s="59" t="str">
        <f t="shared" ca="1" si="347"/>
        <v>NA</v>
      </c>
      <c r="CI134" s="59" t="str">
        <f t="shared" ca="1" si="348"/>
        <v>DE 11 A 15 DIAS</v>
      </c>
      <c r="CJ134" s="59" t="str">
        <f t="shared" ca="1" si="349"/>
        <v>DE 11 A 15 DIAS</v>
      </c>
      <c r="CK134" s="59" t="str">
        <f t="shared" ca="1" si="350"/>
        <v>DE 11 A 15 DIAS</v>
      </c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>
        <f t="shared" si="363"/>
        <v>0</v>
      </c>
      <c r="DH134" s="8">
        <f t="shared" si="364"/>
        <v>0</v>
      </c>
      <c r="DI134" s="8">
        <f t="shared" si="365"/>
        <v>0</v>
      </c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59" t="str">
        <f t="shared" si="366"/>
        <v>NA</v>
      </c>
      <c r="DU134" s="59" t="str">
        <f t="shared" si="367"/>
        <v>NA</v>
      </c>
      <c r="DV134" s="59" t="str">
        <f t="shared" si="368"/>
        <v>NA</v>
      </c>
      <c r="DW134" s="59" t="str">
        <f t="shared" si="369"/>
        <v>NA</v>
      </c>
      <c r="DX134" s="59" t="str">
        <f t="shared" si="370"/>
        <v>NA</v>
      </c>
      <c r="DY134" s="59" t="str">
        <f t="shared" si="371"/>
        <v>NA</v>
      </c>
      <c r="DZ134" s="59" t="str">
        <f t="shared" si="372"/>
        <v>NA</v>
      </c>
      <c r="EA134" s="59" t="str">
        <f t="shared" si="373"/>
        <v>NA</v>
      </c>
      <c r="EB134" s="59" t="str">
        <f t="shared" si="374"/>
        <v>NA</v>
      </c>
      <c r="EC134" s="59" t="str">
        <f t="shared" si="375"/>
        <v>NA</v>
      </c>
      <c r="ED134" s="59" t="str">
        <f t="shared" si="376"/>
        <v/>
      </c>
      <c r="EE134" s="59" t="str">
        <f t="shared" si="377"/>
        <v/>
      </c>
      <c r="EF134" s="59" t="str">
        <f t="shared" si="378"/>
        <v/>
      </c>
      <c r="EG134" s="59" t="str">
        <f t="shared" si="379"/>
        <v/>
      </c>
      <c r="EH134" s="59" t="str">
        <f t="shared" si="380"/>
        <v/>
      </c>
      <c r="EI134" s="59" t="str">
        <f t="shared" si="381"/>
        <v/>
      </c>
      <c r="EJ134" s="59" t="str">
        <f t="shared" si="382"/>
        <v/>
      </c>
      <c r="EK134" s="59" t="str">
        <f t="shared" si="383"/>
        <v/>
      </c>
      <c r="EL134" s="59" t="str">
        <f t="shared" si="384"/>
        <v/>
      </c>
      <c r="EM134" s="59" t="str">
        <f t="shared" si="385"/>
        <v/>
      </c>
      <c r="EN134" s="59" t="str">
        <f t="shared" si="386"/>
        <v/>
      </c>
      <c r="EO134" s="59" t="str">
        <f t="shared" si="387"/>
        <v/>
      </c>
      <c r="EP134" s="59" t="str">
        <f t="shared" si="388"/>
        <v/>
      </c>
      <c r="EQ134" s="59" t="str">
        <f t="shared" si="389"/>
        <v/>
      </c>
      <c r="ER134" s="59" t="str">
        <f t="shared" si="390"/>
        <v/>
      </c>
      <c r="ES134" s="59" t="str">
        <f t="shared" si="391"/>
        <v/>
      </c>
      <c r="ET134" s="59" t="str">
        <f t="shared" si="392"/>
        <v/>
      </c>
      <c r="EU134" s="59" t="str">
        <f t="shared" si="393"/>
        <v/>
      </c>
      <c r="EV134" s="59" t="str">
        <f t="shared" si="394"/>
        <v/>
      </c>
      <c r="EW134" s="59" t="str">
        <f t="shared" si="395"/>
        <v/>
      </c>
      <c r="EX134" s="56">
        <f t="shared" si="351"/>
        <v>1126000</v>
      </c>
    </row>
    <row r="135" spans="1:154" x14ac:dyDescent="0.25">
      <c r="A135" s="2">
        <f t="shared" si="396"/>
        <v>134</v>
      </c>
      <c r="B135" s="2" t="s">
        <v>6</v>
      </c>
      <c r="C135" s="2" t="str">
        <f t="shared" si="352"/>
        <v>020817</v>
      </c>
      <c r="D135" s="2">
        <v>2</v>
      </c>
      <c r="E135" s="2">
        <v>8</v>
      </c>
      <c r="F135" s="2">
        <v>17</v>
      </c>
      <c r="G135" s="11" t="s">
        <v>16</v>
      </c>
      <c r="H135" s="4"/>
      <c r="I135" s="42" t="s">
        <v>58</v>
      </c>
      <c r="J135" s="9">
        <v>80</v>
      </c>
      <c r="K135" s="9"/>
      <c r="L135" s="10" t="s">
        <v>8</v>
      </c>
      <c r="M135" s="23" t="s">
        <v>177</v>
      </c>
      <c r="N135" s="7">
        <f t="shared" si="397"/>
        <v>1135000</v>
      </c>
      <c r="O135" s="8">
        <v>173</v>
      </c>
      <c r="P135" s="25">
        <v>41212</v>
      </c>
      <c r="Q135" s="8" t="str">
        <f t="shared" si="353"/>
        <v>2DA-OCT</v>
      </c>
      <c r="R135" s="26">
        <v>0.1</v>
      </c>
      <c r="S135" s="41" t="s">
        <v>34</v>
      </c>
      <c r="T135" s="8" t="s">
        <v>353</v>
      </c>
      <c r="U135" s="8"/>
      <c r="V135" s="7">
        <v>567500</v>
      </c>
      <c r="W135" s="7">
        <f t="shared" si="354"/>
        <v>113500</v>
      </c>
      <c r="X135" s="7">
        <f t="shared" si="355"/>
        <v>454000</v>
      </c>
      <c r="Y135" s="7">
        <v>0</v>
      </c>
      <c r="Z135" s="7">
        <f t="shared" si="356"/>
        <v>113500</v>
      </c>
      <c r="AA135" s="148" t="str">
        <f t="shared" si="357"/>
        <v>20%</v>
      </c>
      <c r="AB135" s="148">
        <f t="shared" si="358"/>
        <v>0.8</v>
      </c>
      <c r="AC135" s="25">
        <f ca="1">TODAY()-19</f>
        <v>41103</v>
      </c>
      <c r="AD135" s="25">
        <f t="shared" ref="AD135:AE135" ca="1" si="408">TODAY()-19</f>
        <v>41103</v>
      </c>
      <c r="AE135" s="25">
        <f t="shared" ca="1" si="408"/>
        <v>41103</v>
      </c>
      <c r="AF135" s="8"/>
      <c r="AG135" s="59" t="str">
        <f t="shared" ca="1" si="360"/>
        <v>NA</v>
      </c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59" t="str">
        <f t="shared" ref="AR135:AR198" si="409">IF(AF135=0,"NA","SEM "&amp;WEEKNUM(AF135))</f>
        <v>NA</v>
      </c>
      <c r="AS135" s="59" t="str">
        <f t="shared" ref="AS135:AS198" si="410">IF(AF135=0,"",IF(MONTH(AF135)=1,"ENE","")&amp;IF(MONTH(AF135)=2,"FEB","")&amp;IF(MONTH(AF135)=3,"MAR","")&amp;IF(MONTH(AF135)=4,"ABR","")&amp;IF(MONTH(AF135)=5,"MAY","")&amp;IF(MONTH(AF135)=6,"JUN","")&amp;IF(MONTH(AF135)=7,"JUL","")&amp;IF(MONTH(AF135)=8,"AGO","")&amp;IF(MONTH(AF135)=9,"SEP","")&amp;IF(MONTH(AF135)=10,"OCT","")&amp;IF(MONTH(AF135)=11,"NOV","")&amp;IF(MONTH(AF135)=12,"DIC",""))</f>
        <v/>
      </c>
      <c r="AT135" s="59"/>
      <c r="AU135" s="59" t="str">
        <f t="shared" si="337"/>
        <v>ND</v>
      </c>
      <c r="AV135" s="66"/>
      <c r="AW135" s="66"/>
      <c r="AX135" s="66"/>
      <c r="AY135" s="66"/>
      <c r="AZ135" s="8"/>
      <c r="BA135" s="8" t="s">
        <v>37</v>
      </c>
      <c r="BB135" s="8"/>
      <c r="BC135" s="8"/>
      <c r="BD135" s="8"/>
      <c r="BE135" s="8"/>
      <c r="BF135" s="8"/>
      <c r="BG135" s="8"/>
      <c r="BH135" s="8"/>
      <c r="BI135" s="8"/>
      <c r="BJ135" s="8"/>
      <c r="BK135" s="59"/>
      <c r="BL135" s="59"/>
      <c r="BM135" s="59"/>
      <c r="BN135" s="164">
        <v>0.01</v>
      </c>
      <c r="BO135" s="165">
        <f t="shared" si="361"/>
        <v>3783.3333333333335</v>
      </c>
      <c r="BP135" s="165">
        <f t="shared" ref="BP135:BQ135" si="411">BO135</f>
        <v>3783.3333333333335</v>
      </c>
      <c r="BQ135" s="165">
        <f t="shared" si="411"/>
        <v>3783.3333333333335</v>
      </c>
      <c r="BR135" s="59"/>
      <c r="BS135" s="59"/>
      <c r="BT135" s="59"/>
      <c r="BU135" s="59"/>
      <c r="BV135" s="59" t="str">
        <f t="shared" si="402"/>
        <v>ND</v>
      </c>
      <c r="BW135" s="59" t="str">
        <f t="shared" si="403"/>
        <v>ND</v>
      </c>
      <c r="BX135" s="59" t="str">
        <f t="shared" si="404"/>
        <v>ND</v>
      </c>
      <c r="BY135" s="59" t="str">
        <f t="shared" si="405"/>
        <v>ND</v>
      </c>
      <c r="BZ135" s="59" t="str">
        <f t="shared" si="339"/>
        <v>NA</v>
      </c>
      <c r="CA135" s="59" t="str">
        <f t="shared" si="340"/>
        <v/>
      </c>
      <c r="CB135" s="59" t="str">
        <f t="shared" si="341"/>
        <v>NA</v>
      </c>
      <c r="CC135" s="59" t="str">
        <f t="shared" si="342"/>
        <v/>
      </c>
      <c r="CD135" s="59" t="str">
        <f t="shared" si="343"/>
        <v>NA</v>
      </c>
      <c r="CE135" s="59" t="str">
        <f t="shared" si="344"/>
        <v/>
      </c>
      <c r="CF135" s="59" t="str">
        <f t="shared" si="345"/>
        <v>NA</v>
      </c>
      <c r="CG135" s="59" t="str">
        <f t="shared" ca="1" si="346"/>
        <v>NA</v>
      </c>
      <c r="CH135" s="59" t="str">
        <f t="shared" ca="1" si="347"/>
        <v>NA</v>
      </c>
      <c r="CI135" s="59" t="str">
        <f t="shared" ca="1" si="348"/>
        <v>DE 16 A 20 DIAS</v>
      </c>
      <c r="CJ135" s="59" t="str">
        <f t="shared" ca="1" si="349"/>
        <v>DE 16 A 20 DIAS</v>
      </c>
      <c r="CK135" s="59" t="str">
        <f t="shared" ca="1" si="350"/>
        <v>DE 16 A 20 DIAS</v>
      </c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>
        <f t="shared" si="363"/>
        <v>0</v>
      </c>
      <c r="DH135" s="8">
        <f t="shared" si="364"/>
        <v>0</v>
      </c>
      <c r="DI135" s="8">
        <f t="shared" si="365"/>
        <v>0</v>
      </c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59" t="str">
        <f t="shared" si="366"/>
        <v>NA</v>
      </c>
      <c r="DU135" s="59" t="str">
        <f t="shared" si="367"/>
        <v>NA</v>
      </c>
      <c r="DV135" s="59" t="str">
        <f t="shared" si="368"/>
        <v>NA</v>
      </c>
      <c r="DW135" s="59" t="str">
        <f t="shared" si="369"/>
        <v>NA</v>
      </c>
      <c r="DX135" s="59" t="str">
        <f t="shared" si="370"/>
        <v>NA</v>
      </c>
      <c r="DY135" s="59" t="str">
        <f t="shared" si="371"/>
        <v>NA</v>
      </c>
      <c r="DZ135" s="59" t="str">
        <f t="shared" si="372"/>
        <v>NA</v>
      </c>
      <c r="EA135" s="59" t="str">
        <f t="shared" si="373"/>
        <v>NA</v>
      </c>
      <c r="EB135" s="59" t="str">
        <f t="shared" si="374"/>
        <v>NA</v>
      </c>
      <c r="EC135" s="59" t="str">
        <f t="shared" si="375"/>
        <v>NA</v>
      </c>
      <c r="ED135" s="59" t="str">
        <f t="shared" si="376"/>
        <v/>
      </c>
      <c r="EE135" s="59" t="str">
        <f t="shared" si="377"/>
        <v/>
      </c>
      <c r="EF135" s="59" t="str">
        <f t="shared" si="378"/>
        <v/>
      </c>
      <c r="EG135" s="59" t="str">
        <f t="shared" si="379"/>
        <v/>
      </c>
      <c r="EH135" s="59" t="str">
        <f t="shared" si="380"/>
        <v/>
      </c>
      <c r="EI135" s="59" t="str">
        <f t="shared" si="381"/>
        <v/>
      </c>
      <c r="EJ135" s="59" t="str">
        <f t="shared" si="382"/>
        <v/>
      </c>
      <c r="EK135" s="59" t="str">
        <f t="shared" si="383"/>
        <v/>
      </c>
      <c r="EL135" s="59" t="str">
        <f t="shared" si="384"/>
        <v/>
      </c>
      <c r="EM135" s="59" t="str">
        <f t="shared" si="385"/>
        <v/>
      </c>
      <c r="EN135" s="59" t="str">
        <f t="shared" si="386"/>
        <v/>
      </c>
      <c r="EO135" s="59" t="str">
        <f t="shared" si="387"/>
        <v/>
      </c>
      <c r="EP135" s="59" t="str">
        <f t="shared" si="388"/>
        <v/>
      </c>
      <c r="EQ135" s="59" t="str">
        <f t="shared" si="389"/>
        <v/>
      </c>
      <c r="ER135" s="59" t="str">
        <f t="shared" si="390"/>
        <v/>
      </c>
      <c r="ES135" s="59" t="str">
        <f t="shared" si="391"/>
        <v/>
      </c>
      <c r="ET135" s="59" t="str">
        <f t="shared" si="392"/>
        <v/>
      </c>
      <c r="EU135" s="59" t="str">
        <f t="shared" si="393"/>
        <v/>
      </c>
      <c r="EV135" s="59" t="str">
        <f t="shared" si="394"/>
        <v/>
      </c>
      <c r="EW135" s="59" t="str">
        <f t="shared" si="395"/>
        <v/>
      </c>
      <c r="EX135" s="56">
        <f t="shared" si="351"/>
        <v>1135000</v>
      </c>
    </row>
    <row r="136" spans="1:154" x14ac:dyDescent="0.25">
      <c r="A136" s="2">
        <f t="shared" si="396"/>
        <v>135</v>
      </c>
      <c r="B136" s="2" t="s">
        <v>6</v>
      </c>
      <c r="C136" s="2" t="str">
        <f t="shared" si="352"/>
        <v>020818</v>
      </c>
      <c r="D136" s="2">
        <v>2</v>
      </c>
      <c r="E136" s="2">
        <v>8</v>
      </c>
      <c r="F136" s="2">
        <v>18</v>
      </c>
      <c r="G136" s="11" t="s">
        <v>16</v>
      </c>
      <c r="H136" s="4"/>
      <c r="I136" s="42" t="s">
        <v>58</v>
      </c>
      <c r="J136" s="9">
        <v>80</v>
      </c>
      <c r="K136" s="5"/>
      <c r="L136" s="6" t="s">
        <v>306</v>
      </c>
      <c r="M136" s="23" t="s">
        <v>177</v>
      </c>
      <c r="N136" s="7">
        <f t="shared" si="397"/>
        <v>1126000</v>
      </c>
      <c r="O136" s="8">
        <v>174</v>
      </c>
      <c r="P136" s="25">
        <v>41212</v>
      </c>
      <c r="Q136" s="8" t="str">
        <f t="shared" si="353"/>
        <v>2DA-OCT</v>
      </c>
      <c r="R136" s="26">
        <v>0.1</v>
      </c>
      <c r="S136" s="41" t="s">
        <v>34</v>
      </c>
      <c r="T136" s="8" t="s">
        <v>353</v>
      </c>
      <c r="U136" s="8"/>
      <c r="V136" s="7">
        <v>563000</v>
      </c>
      <c r="W136" s="7">
        <f t="shared" si="354"/>
        <v>112600</v>
      </c>
      <c r="X136" s="7">
        <f t="shared" si="355"/>
        <v>450400</v>
      </c>
      <c r="Y136" s="7">
        <v>0</v>
      </c>
      <c r="Z136" s="7">
        <f t="shared" si="356"/>
        <v>112600</v>
      </c>
      <c r="AA136" s="148" t="str">
        <f t="shared" si="357"/>
        <v>20%</v>
      </c>
      <c r="AB136" s="148">
        <f t="shared" si="358"/>
        <v>0.8</v>
      </c>
      <c r="AC136" s="25">
        <f ca="1">TODAY()-25</f>
        <v>41097</v>
      </c>
      <c r="AD136" s="25">
        <f t="shared" ref="AD136:AE136" ca="1" si="412">TODAY()-25</f>
        <v>41097</v>
      </c>
      <c r="AE136" s="25">
        <f t="shared" ca="1" si="412"/>
        <v>41097</v>
      </c>
      <c r="AF136" s="8"/>
      <c r="AG136" s="59" t="str">
        <f t="shared" ca="1" si="360"/>
        <v>NA</v>
      </c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59" t="str">
        <f t="shared" si="409"/>
        <v>NA</v>
      </c>
      <c r="AS136" s="59" t="str">
        <f t="shared" si="410"/>
        <v/>
      </c>
      <c r="AT136" s="59"/>
      <c r="AU136" s="59" t="str">
        <f t="shared" si="337"/>
        <v>ND</v>
      </c>
      <c r="AV136" s="66"/>
      <c r="AW136" s="66"/>
      <c r="AX136" s="66"/>
      <c r="AY136" s="66"/>
      <c r="AZ136" s="8"/>
      <c r="BA136" s="8" t="s">
        <v>37</v>
      </c>
      <c r="BB136" s="8"/>
      <c r="BC136" s="8"/>
      <c r="BD136" s="8"/>
      <c r="BE136" s="8"/>
      <c r="BF136" s="8"/>
      <c r="BG136" s="8"/>
      <c r="BH136" s="8"/>
      <c r="BI136" s="8"/>
      <c r="BJ136" s="8"/>
      <c r="BK136" s="59"/>
      <c r="BL136" s="59"/>
      <c r="BM136" s="59"/>
      <c r="BN136" s="164">
        <v>0.01</v>
      </c>
      <c r="BO136" s="165">
        <f t="shared" si="361"/>
        <v>3753.3333333333335</v>
      </c>
      <c r="BP136" s="165">
        <f t="shared" ref="BP136:BQ136" si="413">BO136</f>
        <v>3753.3333333333335</v>
      </c>
      <c r="BQ136" s="165">
        <f t="shared" si="413"/>
        <v>3753.3333333333335</v>
      </c>
      <c r="BR136" s="59"/>
      <c r="BS136" s="59"/>
      <c r="BT136" s="59"/>
      <c r="BU136" s="59"/>
      <c r="BV136" s="59" t="str">
        <f t="shared" si="402"/>
        <v>ND</v>
      </c>
      <c r="BW136" s="59" t="str">
        <f t="shared" si="403"/>
        <v>ND</v>
      </c>
      <c r="BX136" s="59" t="str">
        <f t="shared" si="404"/>
        <v>ND</v>
      </c>
      <c r="BY136" s="59" t="str">
        <f t="shared" si="405"/>
        <v>ND</v>
      </c>
      <c r="BZ136" s="59" t="str">
        <f t="shared" si="339"/>
        <v>NA</v>
      </c>
      <c r="CA136" s="59" t="str">
        <f t="shared" si="340"/>
        <v/>
      </c>
      <c r="CB136" s="59" t="str">
        <f t="shared" si="341"/>
        <v>NA</v>
      </c>
      <c r="CC136" s="59" t="str">
        <f t="shared" si="342"/>
        <v/>
      </c>
      <c r="CD136" s="59" t="str">
        <f t="shared" si="343"/>
        <v>NA</v>
      </c>
      <c r="CE136" s="59" t="str">
        <f t="shared" si="344"/>
        <v/>
      </c>
      <c r="CF136" s="59" t="str">
        <f t="shared" si="345"/>
        <v>NA</v>
      </c>
      <c r="CG136" s="59" t="str">
        <f t="shared" ca="1" si="346"/>
        <v>NA</v>
      </c>
      <c r="CH136" s="59" t="str">
        <f t="shared" ca="1" si="347"/>
        <v>NA</v>
      </c>
      <c r="CI136" s="59" t="str">
        <f t="shared" ca="1" si="348"/>
        <v>DE 21 A 25 DIAS</v>
      </c>
      <c r="CJ136" s="59" t="str">
        <f t="shared" ca="1" si="349"/>
        <v>DE 21 A 25 DIAS</v>
      </c>
      <c r="CK136" s="59" t="str">
        <f t="shared" ca="1" si="350"/>
        <v>DE 21 A 25 DIAS</v>
      </c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>
        <f t="shared" si="363"/>
        <v>0</v>
      </c>
      <c r="DH136" s="8">
        <f t="shared" si="364"/>
        <v>0</v>
      </c>
      <c r="DI136" s="8">
        <f t="shared" si="365"/>
        <v>0</v>
      </c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59" t="str">
        <f t="shared" si="366"/>
        <v>NA</v>
      </c>
      <c r="DU136" s="59" t="str">
        <f t="shared" si="367"/>
        <v>NA</v>
      </c>
      <c r="DV136" s="59" t="str">
        <f t="shared" si="368"/>
        <v>NA</v>
      </c>
      <c r="DW136" s="59" t="str">
        <f t="shared" si="369"/>
        <v>NA</v>
      </c>
      <c r="DX136" s="59" t="str">
        <f t="shared" si="370"/>
        <v>NA</v>
      </c>
      <c r="DY136" s="59" t="str">
        <f t="shared" si="371"/>
        <v>NA</v>
      </c>
      <c r="DZ136" s="59" t="str">
        <f t="shared" si="372"/>
        <v>NA</v>
      </c>
      <c r="EA136" s="59" t="str">
        <f t="shared" si="373"/>
        <v>NA</v>
      </c>
      <c r="EB136" s="59" t="str">
        <f t="shared" si="374"/>
        <v>NA</v>
      </c>
      <c r="EC136" s="59" t="str">
        <f t="shared" si="375"/>
        <v>NA</v>
      </c>
      <c r="ED136" s="59" t="str">
        <f t="shared" si="376"/>
        <v/>
      </c>
      <c r="EE136" s="59" t="str">
        <f t="shared" si="377"/>
        <v/>
      </c>
      <c r="EF136" s="59" t="str">
        <f t="shared" si="378"/>
        <v/>
      </c>
      <c r="EG136" s="59" t="str">
        <f t="shared" si="379"/>
        <v/>
      </c>
      <c r="EH136" s="59" t="str">
        <f t="shared" si="380"/>
        <v/>
      </c>
      <c r="EI136" s="59" t="str">
        <f t="shared" si="381"/>
        <v/>
      </c>
      <c r="EJ136" s="59" t="str">
        <f t="shared" si="382"/>
        <v/>
      </c>
      <c r="EK136" s="59" t="str">
        <f t="shared" si="383"/>
        <v/>
      </c>
      <c r="EL136" s="59" t="str">
        <f t="shared" si="384"/>
        <v/>
      </c>
      <c r="EM136" s="59" t="str">
        <f t="shared" si="385"/>
        <v/>
      </c>
      <c r="EN136" s="59" t="str">
        <f t="shared" si="386"/>
        <v/>
      </c>
      <c r="EO136" s="59" t="str">
        <f t="shared" si="387"/>
        <v/>
      </c>
      <c r="EP136" s="59" t="str">
        <f t="shared" si="388"/>
        <v/>
      </c>
      <c r="EQ136" s="59" t="str">
        <f t="shared" si="389"/>
        <v/>
      </c>
      <c r="ER136" s="59" t="str">
        <f t="shared" si="390"/>
        <v/>
      </c>
      <c r="ES136" s="59" t="str">
        <f t="shared" si="391"/>
        <v/>
      </c>
      <c r="ET136" s="59" t="str">
        <f t="shared" si="392"/>
        <v/>
      </c>
      <c r="EU136" s="59" t="str">
        <f t="shared" si="393"/>
        <v/>
      </c>
      <c r="EV136" s="59" t="str">
        <f t="shared" si="394"/>
        <v/>
      </c>
      <c r="EW136" s="59" t="str">
        <f t="shared" si="395"/>
        <v/>
      </c>
      <c r="EX136" s="56">
        <f t="shared" si="351"/>
        <v>1126000</v>
      </c>
    </row>
    <row r="137" spans="1:154" x14ac:dyDescent="0.25">
      <c r="A137" s="2">
        <f t="shared" si="396"/>
        <v>136</v>
      </c>
      <c r="B137" s="2" t="s">
        <v>6</v>
      </c>
      <c r="C137" s="2" t="str">
        <f t="shared" si="352"/>
        <v>020819</v>
      </c>
      <c r="D137" s="2">
        <v>2</v>
      </c>
      <c r="E137" s="2">
        <v>8</v>
      </c>
      <c r="F137" s="2">
        <v>19</v>
      </c>
      <c r="G137" s="11" t="s">
        <v>16</v>
      </c>
      <c r="H137" s="4"/>
      <c r="I137" s="42" t="s">
        <v>58</v>
      </c>
      <c r="J137" s="9">
        <v>80</v>
      </c>
      <c r="K137" s="5"/>
      <c r="L137" s="6" t="s">
        <v>306</v>
      </c>
      <c r="M137" s="23" t="s">
        <v>177</v>
      </c>
      <c r="N137" s="7">
        <f t="shared" si="397"/>
        <v>1126000</v>
      </c>
      <c r="O137" s="8">
        <v>175</v>
      </c>
      <c r="P137" s="25">
        <v>41212</v>
      </c>
      <c r="Q137" s="8" t="str">
        <f t="shared" si="353"/>
        <v>2DA-OCT</v>
      </c>
      <c r="R137" s="26">
        <v>0.1</v>
      </c>
      <c r="S137" s="41" t="s">
        <v>34</v>
      </c>
      <c r="T137" s="8" t="s">
        <v>353</v>
      </c>
      <c r="U137" s="8"/>
      <c r="V137" s="7">
        <v>563000</v>
      </c>
      <c r="W137" s="7">
        <f t="shared" si="354"/>
        <v>112600</v>
      </c>
      <c r="X137" s="7">
        <f t="shared" si="355"/>
        <v>450400</v>
      </c>
      <c r="Y137" s="7">
        <v>0</v>
      </c>
      <c r="Z137" s="7">
        <f t="shared" si="356"/>
        <v>112600</v>
      </c>
      <c r="AA137" s="148" t="str">
        <f t="shared" si="357"/>
        <v>20%</v>
      </c>
      <c r="AB137" s="148">
        <f t="shared" si="358"/>
        <v>0.8</v>
      </c>
      <c r="AC137" s="25">
        <f ca="1">TODAY()-29</f>
        <v>41093</v>
      </c>
      <c r="AD137" s="25">
        <f t="shared" ref="AD137:AE137" ca="1" si="414">TODAY()-29</f>
        <v>41093</v>
      </c>
      <c r="AE137" s="25">
        <f t="shared" ca="1" si="414"/>
        <v>41093</v>
      </c>
      <c r="AF137" s="8"/>
      <c r="AG137" s="59" t="str">
        <f t="shared" ca="1" si="360"/>
        <v>NA</v>
      </c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59" t="str">
        <f t="shared" si="409"/>
        <v>NA</v>
      </c>
      <c r="AS137" s="59" t="str">
        <f t="shared" si="410"/>
        <v/>
      </c>
      <c r="AT137" s="59"/>
      <c r="AU137" s="59" t="str">
        <f t="shared" si="337"/>
        <v>ND</v>
      </c>
      <c r="AV137" s="66"/>
      <c r="AW137" s="66"/>
      <c r="AX137" s="66"/>
      <c r="AY137" s="66"/>
      <c r="AZ137" s="8"/>
      <c r="BA137" s="8" t="s">
        <v>37</v>
      </c>
      <c r="BB137" s="8"/>
      <c r="BC137" s="8"/>
      <c r="BD137" s="8"/>
      <c r="BE137" s="8"/>
      <c r="BF137" s="8"/>
      <c r="BG137" s="8"/>
      <c r="BH137" s="8"/>
      <c r="BI137" s="8"/>
      <c r="BJ137" s="8"/>
      <c r="BK137" s="59"/>
      <c r="BL137" s="59"/>
      <c r="BM137" s="59"/>
      <c r="BN137" s="164">
        <v>0.01</v>
      </c>
      <c r="BO137" s="165">
        <f t="shared" si="361"/>
        <v>3753.3333333333335</v>
      </c>
      <c r="BP137" s="165">
        <f t="shared" ref="BP137:BQ137" si="415">BO137</f>
        <v>3753.3333333333335</v>
      </c>
      <c r="BQ137" s="165">
        <f t="shared" si="415"/>
        <v>3753.3333333333335</v>
      </c>
      <c r="BR137" s="59"/>
      <c r="BS137" s="59"/>
      <c r="BT137" s="59"/>
      <c r="BU137" s="59"/>
      <c r="BV137" s="59" t="str">
        <f t="shared" si="402"/>
        <v>ND</v>
      </c>
      <c r="BW137" s="59" t="str">
        <f t="shared" si="403"/>
        <v>ND</v>
      </c>
      <c r="BX137" s="59" t="str">
        <f t="shared" si="404"/>
        <v>ND</v>
      </c>
      <c r="BY137" s="59" t="str">
        <f t="shared" si="405"/>
        <v>ND</v>
      </c>
      <c r="BZ137" s="59" t="str">
        <f t="shared" si="339"/>
        <v>NA</v>
      </c>
      <c r="CA137" s="59" t="str">
        <f t="shared" si="340"/>
        <v/>
      </c>
      <c r="CB137" s="59" t="str">
        <f t="shared" si="341"/>
        <v>NA</v>
      </c>
      <c r="CC137" s="59" t="str">
        <f t="shared" si="342"/>
        <v/>
      </c>
      <c r="CD137" s="59" t="str">
        <f t="shared" si="343"/>
        <v>NA</v>
      </c>
      <c r="CE137" s="59" t="str">
        <f t="shared" si="344"/>
        <v/>
      </c>
      <c r="CF137" s="59" t="str">
        <f t="shared" si="345"/>
        <v>NA</v>
      </c>
      <c r="CG137" s="59" t="str">
        <f t="shared" ca="1" si="346"/>
        <v>NA</v>
      </c>
      <c r="CH137" s="59" t="str">
        <f t="shared" ca="1" si="347"/>
        <v>NA</v>
      </c>
      <c r="CI137" s="59" t="str">
        <f t="shared" ca="1" si="348"/>
        <v>DE 26 A 29 DIAS</v>
      </c>
      <c r="CJ137" s="59" t="str">
        <f t="shared" ca="1" si="349"/>
        <v>DE 26 A 29 DIAS</v>
      </c>
      <c r="CK137" s="59" t="str">
        <f t="shared" ca="1" si="350"/>
        <v>DE 26 A 29 DIAS</v>
      </c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>
        <f t="shared" si="363"/>
        <v>0</v>
      </c>
      <c r="DH137" s="8">
        <f t="shared" si="364"/>
        <v>0</v>
      </c>
      <c r="DI137" s="8">
        <f t="shared" si="365"/>
        <v>0</v>
      </c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59" t="str">
        <f t="shared" si="366"/>
        <v>NA</v>
      </c>
      <c r="DU137" s="59" t="str">
        <f t="shared" si="367"/>
        <v>NA</v>
      </c>
      <c r="DV137" s="59" t="str">
        <f t="shared" si="368"/>
        <v>NA</v>
      </c>
      <c r="DW137" s="59" t="str">
        <f t="shared" si="369"/>
        <v>NA</v>
      </c>
      <c r="DX137" s="59" t="str">
        <f t="shared" si="370"/>
        <v>NA</v>
      </c>
      <c r="DY137" s="59" t="str">
        <f t="shared" si="371"/>
        <v>NA</v>
      </c>
      <c r="DZ137" s="59" t="str">
        <f t="shared" si="372"/>
        <v>NA</v>
      </c>
      <c r="EA137" s="59" t="str">
        <f t="shared" si="373"/>
        <v>NA</v>
      </c>
      <c r="EB137" s="59" t="str">
        <f t="shared" si="374"/>
        <v>NA</v>
      </c>
      <c r="EC137" s="59" t="str">
        <f t="shared" si="375"/>
        <v>NA</v>
      </c>
      <c r="ED137" s="59" t="str">
        <f t="shared" si="376"/>
        <v/>
      </c>
      <c r="EE137" s="59" t="str">
        <f t="shared" si="377"/>
        <v/>
      </c>
      <c r="EF137" s="59" t="str">
        <f t="shared" si="378"/>
        <v/>
      </c>
      <c r="EG137" s="59" t="str">
        <f t="shared" si="379"/>
        <v/>
      </c>
      <c r="EH137" s="59" t="str">
        <f t="shared" si="380"/>
        <v/>
      </c>
      <c r="EI137" s="59" t="str">
        <f t="shared" si="381"/>
        <v/>
      </c>
      <c r="EJ137" s="59" t="str">
        <f t="shared" si="382"/>
        <v/>
      </c>
      <c r="EK137" s="59" t="str">
        <f t="shared" si="383"/>
        <v/>
      </c>
      <c r="EL137" s="59" t="str">
        <f t="shared" si="384"/>
        <v/>
      </c>
      <c r="EM137" s="59" t="str">
        <f t="shared" si="385"/>
        <v/>
      </c>
      <c r="EN137" s="59" t="str">
        <f t="shared" si="386"/>
        <v/>
      </c>
      <c r="EO137" s="59" t="str">
        <f t="shared" si="387"/>
        <v/>
      </c>
      <c r="EP137" s="59" t="str">
        <f t="shared" si="388"/>
        <v/>
      </c>
      <c r="EQ137" s="59" t="str">
        <f t="shared" si="389"/>
        <v/>
      </c>
      <c r="ER137" s="59" t="str">
        <f t="shared" si="390"/>
        <v/>
      </c>
      <c r="ES137" s="59" t="str">
        <f t="shared" si="391"/>
        <v/>
      </c>
      <c r="ET137" s="59" t="str">
        <f t="shared" si="392"/>
        <v/>
      </c>
      <c r="EU137" s="59" t="str">
        <f t="shared" si="393"/>
        <v/>
      </c>
      <c r="EV137" s="59" t="str">
        <f t="shared" si="394"/>
        <v/>
      </c>
      <c r="EW137" s="59" t="str">
        <f t="shared" si="395"/>
        <v/>
      </c>
      <c r="EX137" s="56">
        <f t="shared" si="351"/>
        <v>1126000</v>
      </c>
    </row>
    <row r="138" spans="1:154" x14ac:dyDescent="0.25">
      <c r="A138" s="2">
        <f t="shared" si="396"/>
        <v>137</v>
      </c>
      <c r="B138" s="2" t="s">
        <v>6</v>
      </c>
      <c r="C138" s="2" t="str">
        <f t="shared" si="352"/>
        <v>020820</v>
      </c>
      <c r="D138" s="2">
        <v>2</v>
      </c>
      <c r="E138" s="2">
        <v>8</v>
      </c>
      <c r="F138" s="2">
        <v>20</v>
      </c>
      <c r="G138" s="11" t="s">
        <v>16</v>
      </c>
      <c r="H138" s="4"/>
      <c r="I138" s="42" t="s">
        <v>58</v>
      </c>
      <c r="J138" s="9">
        <v>81.62</v>
      </c>
      <c r="K138" s="9"/>
      <c r="L138" s="10" t="s">
        <v>8</v>
      </c>
      <c r="M138" s="23" t="s">
        <v>177</v>
      </c>
      <c r="N138" s="7">
        <f t="shared" si="397"/>
        <v>1141156</v>
      </c>
      <c r="O138" s="8">
        <v>176</v>
      </c>
      <c r="P138" s="25">
        <v>41212</v>
      </c>
      <c r="Q138" s="8" t="str">
        <f t="shared" si="353"/>
        <v>2DA-OCT</v>
      </c>
      <c r="R138" s="26">
        <v>0.1</v>
      </c>
      <c r="S138" s="41" t="s">
        <v>34</v>
      </c>
      <c r="T138" s="8" t="s">
        <v>353</v>
      </c>
      <c r="U138" s="8"/>
      <c r="V138" s="7">
        <v>570578</v>
      </c>
      <c r="W138" s="7">
        <f t="shared" si="354"/>
        <v>114115.6</v>
      </c>
      <c r="X138" s="7">
        <f t="shared" si="355"/>
        <v>456462.4</v>
      </c>
      <c r="Y138" s="7">
        <v>0</v>
      </c>
      <c r="Z138" s="7">
        <f t="shared" si="356"/>
        <v>114115.6</v>
      </c>
      <c r="AA138" s="148" t="str">
        <f t="shared" si="357"/>
        <v>20%</v>
      </c>
      <c r="AB138" s="148">
        <f t="shared" si="358"/>
        <v>0.8</v>
      </c>
      <c r="AC138" s="25">
        <f ca="1">TODAY()-30</f>
        <v>41092</v>
      </c>
      <c r="AD138" s="25">
        <f t="shared" ref="AD138:AE138" ca="1" si="416">TODAY()-30</f>
        <v>41092</v>
      </c>
      <c r="AE138" s="25">
        <f t="shared" ca="1" si="416"/>
        <v>41092</v>
      </c>
      <c r="AF138" s="8"/>
      <c r="AG138" s="59" t="str">
        <f t="shared" ca="1" si="360"/>
        <v>NA</v>
      </c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59" t="str">
        <f t="shared" si="409"/>
        <v>NA</v>
      </c>
      <c r="AS138" s="59" t="str">
        <f t="shared" si="410"/>
        <v/>
      </c>
      <c r="AT138" s="59"/>
      <c r="AU138" s="59" t="str">
        <f t="shared" si="337"/>
        <v>ND</v>
      </c>
      <c r="AV138" s="66"/>
      <c r="AW138" s="66"/>
      <c r="AX138" s="66"/>
      <c r="AY138" s="66"/>
      <c r="AZ138" s="8"/>
      <c r="BA138" s="8" t="s">
        <v>37</v>
      </c>
      <c r="BB138" s="8"/>
      <c r="BC138" s="8"/>
      <c r="BD138" s="8"/>
      <c r="BE138" s="8"/>
      <c r="BF138" s="8"/>
      <c r="BG138" s="8"/>
      <c r="BH138" s="8"/>
      <c r="BI138" s="8"/>
      <c r="BJ138" s="8"/>
      <c r="BK138" s="59"/>
      <c r="BL138" s="59"/>
      <c r="BM138" s="59"/>
      <c r="BN138" s="164">
        <v>0.01</v>
      </c>
      <c r="BO138" s="165">
        <f t="shared" si="361"/>
        <v>3803.853333333333</v>
      </c>
      <c r="BP138" s="165">
        <f t="shared" ref="BP138:BQ138" si="417">BO138</f>
        <v>3803.853333333333</v>
      </c>
      <c r="BQ138" s="165">
        <f t="shared" si="417"/>
        <v>3803.853333333333</v>
      </c>
      <c r="BR138" s="59"/>
      <c r="BS138" s="59"/>
      <c r="BT138" s="59"/>
      <c r="BU138" s="59"/>
      <c r="BV138" s="59" t="str">
        <f t="shared" si="402"/>
        <v>ND</v>
      </c>
      <c r="BW138" s="59" t="str">
        <f t="shared" si="403"/>
        <v>ND</v>
      </c>
      <c r="BX138" s="59" t="str">
        <f t="shared" si="404"/>
        <v>ND</v>
      </c>
      <c r="BY138" s="59" t="str">
        <f t="shared" si="405"/>
        <v>ND</v>
      </c>
      <c r="BZ138" s="59" t="str">
        <f t="shared" si="339"/>
        <v>NA</v>
      </c>
      <c r="CA138" s="59" t="str">
        <f t="shared" si="340"/>
        <v/>
      </c>
      <c r="CB138" s="59" t="str">
        <f t="shared" si="341"/>
        <v>NA</v>
      </c>
      <c r="CC138" s="59" t="str">
        <f t="shared" si="342"/>
        <v/>
      </c>
      <c r="CD138" s="59" t="str">
        <f t="shared" si="343"/>
        <v>NA</v>
      </c>
      <c r="CE138" s="59" t="str">
        <f t="shared" si="344"/>
        <v/>
      </c>
      <c r="CF138" s="59" t="str">
        <f t="shared" si="345"/>
        <v>NA</v>
      </c>
      <c r="CG138" s="59" t="str">
        <f t="shared" ca="1" si="346"/>
        <v>NA</v>
      </c>
      <c r="CH138" s="59" t="str">
        <f t="shared" ca="1" si="347"/>
        <v>NA</v>
      </c>
      <c r="CI138" s="59" t="str">
        <f t="shared" ca="1" si="348"/>
        <v>30 DIAS</v>
      </c>
      <c r="CJ138" s="59" t="str">
        <f t="shared" ca="1" si="349"/>
        <v>30 DIAS</v>
      </c>
      <c r="CK138" s="59" t="str">
        <f t="shared" ca="1" si="350"/>
        <v>30 DIAS</v>
      </c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>
        <f t="shared" si="363"/>
        <v>0</v>
      </c>
      <c r="DH138" s="8">
        <f t="shared" si="364"/>
        <v>0</v>
      </c>
      <c r="DI138" s="8">
        <f t="shared" si="365"/>
        <v>0</v>
      </c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59" t="str">
        <f t="shared" si="366"/>
        <v>NA</v>
      </c>
      <c r="DU138" s="59" t="str">
        <f t="shared" si="367"/>
        <v>NA</v>
      </c>
      <c r="DV138" s="59" t="str">
        <f t="shared" si="368"/>
        <v>NA</v>
      </c>
      <c r="DW138" s="59" t="str">
        <f t="shared" si="369"/>
        <v>NA</v>
      </c>
      <c r="DX138" s="59" t="str">
        <f t="shared" si="370"/>
        <v>NA</v>
      </c>
      <c r="DY138" s="59" t="str">
        <f t="shared" si="371"/>
        <v>NA</v>
      </c>
      <c r="DZ138" s="59" t="str">
        <f t="shared" si="372"/>
        <v>NA</v>
      </c>
      <c r="EA138" s="59" t="str">
        <f t="shared" si="373"/>
        <v>NA</v>
      </c>
      <c r="EB138" s="59" t="str">
        <f t="shared" si="374"/>
        <v>NA</v>
      </c>
      <c r="EC138" s="59" t="str">
        <f t="shared" si="375"/>
        <v>NA</v>
      </c>
      <c r="ED138" s="59" t="str">
        <f t="shared" si="376"/>
        <v/>
      </c>
      <c r="EE138" s="59" t="str">
        <f t="shared" si="377"/>
        <v/>
      </c>
      <c r="EF138" s="59" t="str">
        <f t="shared" si="378"/>
        <v/>
      </c>
      <c r="EG138" s="59" t="str">
        <f t="shared" si="379"/>
        <v/>
      </c>
      <c r="EH138" s="59" t="str">
        <f t="shared" si="380"/>
        <v/>
      </c>
      <c r="EI138" s="59" t="str">
        <f t="shared" si="381"/>
        <v/>
      </c>
      <c r="EJ138" s="59" t="str">
        <f t="shared" si="382"/>
        <v/>
      </c>
      <c r="EK138" s="59" t="str">
        <f t="shared" si="383"/>
        <v/>
      </c>
      <c r="EL138" s="59" t="str">
        <f t="shared" si="384"/>
        <v/>
      </c>
      <c r="EM138" s="59" t="str">
        <f t="shared" si="385"/>
        <v/>
      </c>
      <c r="EN138" s="59" t="str">
        <f t="shared" si="386"/>
        <v/>
      </c>
      <c r="EO138" s="59" t="str">
        <f t="shared" si="387"/>
        <v/>
      </c>
      <c r="EP138" s="59" t="str">
        <f t="shared" si="388"/>
        <v/>
      </c>
      <c r="EQ138" s="59" t="str">
        <f t="shared" si="389"/>
        <v/>
      </c>
      <c r="ER138" s="59" t="str">
        <f t="shared" si="390"/>
        <v/>
      </c>
      <c r="ES138" s="59" t="str">
        <f t="shared" si="391"/>
        <v/>
      </c>
      <c r="ET138" s="59" t="str">
        <f t="shared" si="392"/>
        <v/>
      </c>
      <c r="EU138" s="59" t="str">
        <f t="shared" si="393"/>
        <v/>
      </c>
      <c r="EV138" s="59" t="str">
        <f t="shared" si="394"/>
        <v/>
      </c>
      <c r="EW138" s="59" t="str">
        <f t="shared" si="395"/>
        <v/>
      </c>
      <c r="EX138" s="56">
        <f t="shared" si="351"/>
        <v>1141156</v>
      </c>
    </row>
    <row r="139" spans="1:154" x14ac:dyDescent="0.25">
      <c r="A139" s="2">
        <f t="shared" si="396"/>
        <v>138</v>
      </c>
      <c r="B139" s="2" t="s">
        <v>6</v>
      </c>
      <c r="C139" s="2" t="str">
        <f t="shared" si="352"/>
        <v>020901</v>
      </c>
      <c r="D139" s="2">
        <v>2</v>
      </c>
      <c r="E139" s="2">
        <v>9</v>
      </c>
      <c r="F139" s="2">
        <v>1</v>
      </c>
      <c r="G139" s="11" t="s">
        <v>17</v>
      </c>
      <c r="H139" s="4"/>
      <c r="I139" s="42" t="s">
        <v>40</v>
      </c>
      <c r="J139" s="9">
        <v>81.495999999999995</v>
      </c>
      <c r="K139" s="9"/>
      <c r="L139" s="10" t="s">
        <v>8</v>
      </c>
      <c r="M139" s="22" t="s">
        <v>176</v>
      </c>
      <c r="N139" s="7">
        <f t="shared" si="397"/>
        <v>1140684.8</v>
      </c>
      <c r="O139" s="8">
        <v>177</v>
      </c>
      <c r="P139" s="25">
        <v>41136</v>
      </c>
      <c r="Q139" s="8" t="str">
        <f t="shared" si="353"/>
        <v>2DA-AGO</v>
      </c>
      <c r="R139" s="26">
        <v>1</v>
      </c>
      <c r="S139" s="41" t="s">
        <v>33</v>
      </c>
      <c r="T139" s="8" t="s">
        <v>352</v>
      </c>
      <c r="U139" s="25">
        <v>41061</v>
      </c>
      <c r="V139" s="7">
        <v>570342.40000000002</v>
      </c>
      <c r="W139" s="7">
        <f t="shared" si="354"/>
        <v>114068.48000000001</v>
      </c>
      <c r="X139" s="7">
        <f t="shared" si="355"/>
        <v>0</v>
      </c>
      <c r="Y139" s="7">
        <v>114068.48000000001</v>
      </c>
      <c r="Z139" s="7">
        <f t="shared" si="356"/>
        <v>0</v>
      </c>
      <c r="AA139" s="148" t="str">
        <f t="shared" si="357"/>
        <v>20%</v>
      </c>
      <c r="AB139" s="148">
        <f t="shared" si="358"/>
        <v>0.8</v>
      </c>
      <c r="AC139" s="25">
        <f ca="1">TODAY()-34</f>
        <v>41088</v>
      </c>
      <c r="AD139" s="25">
        <f t="shared" ref="AD139:AE139" ca="1" si="418">TODAY()-34</f>
        <v>41088</v>
      </c>
      <c r="AE139" s="25">
        <f t="shared" ca="1" si="418"/>
        <v>41088</v>
      </c>
      <c r="AF139" s="25">
        <v>40998</v>
      </c>
      <c r="AG139" s="59" t="str">
        <f t="shared" ca="1" si="360"/>
        <v>MAYOR A 2 MESES</v>
      </c>
      <c r="AH139" s="8" t="s">
        <v>145</v>
      </c>
      <c r="AI139" s="8"/>
      <c r="AJ139" s="8"/>
      <c r="AK139" s="8"/>
      <c r="AL139" s="8"/>
      <c r="AM139" s="8"/>
      <c r="AN139" s="8"/>
      <c r="AO139" s="8">
        <v>32168543</v>
      </c>
      <c r="AP139" s="8">
        <v>3215436</v>
      </c>
      <c r="AQ139" s="8"/>
      <c r="AR139" s="59" t="str">
        <f t="shared" si="409"/>
        <v>SEM 13</v>
      </c>
      <c r="AS139" s="59" t="str">
        <f t="shared" si="410"/>
        <v>MAR</v>
      </c>
      <c r="AT139" s="59">
        <v>12000</v>
      </c>
      <c r="AU139" s="59" t="str">
        <f t="shared" si="337"/>
        <v>HASTA 12 MIL</v>
      </c>
      <c r="AV139" s="66" t="s">
        <v>74</v>
      </c>
      <c r="AW139" s="66" t="s">
        <v>38</v>
      </c>
      <c r="AX139" s="66" t="s">
        <v>79</v>
      </c>
      <c r="AY139" s="66" t="s">
        <v>171</v>
      </c>
      <c r="AZ139" s="25">
        <v>40998</v>
      </c>
      <c r="BA139" s="8" t="s">
        <v>40</v>
      </c>
      <c r="BB139" s="25">
        <v>41006</v>
      </c>
      <c r="BC139" s="25">
        <v>41013</v>
      </c>
      <c r="BD139" s="25">
        <f>+BB139+7</f>
        <v>41013</v>
      </c>
      <c r="BE139" s="25"/>
      <c r="BF139" s="25">
        <f>+BD139+12</f>
        <v>41025</v>
      </c>
      <c r="BG139" s="8"/>
      <c r="BH139" s="8"/>
      <c r="BI139" s="8">
        <v>86</v>
      </c>
      <c r="BJ139" s="8"/>
      <c r="BK139" s="59" t="s">
        <v>371</v>
      </c>
      <c r="BL139" s="59" t="s">
        <v>371</v>
      </c>
      <c r="BM139" s="59" t="s">
        <v>371</v>
      </c>
      <c r="BN139" s="164">
        <v>0.01</v>
      </c>
      <c r="BO139" s="165">
        <f t="shared" si="361"/>
        <v>3802.2826666666665</v>
      </c>
      <c r="BP139" s="165">
        <f t="shared" ref="BP139:BQ139" si="419">BO139</f>
        <v>3802.2826666666665</v>
      </c>
      <c r="BQ139" s="165">
        <f t="shared" si="419"/>
        <v>3802.2826666666665</v>
      </c>
      <c r="BR139" s="162">
        <v>41009</v>
      </c>
      <c r="BS139" s="162">
        <v>41029</v>
      </c>
      <c r="BT139" s="162">
        <v>41029</v>
      </c>
      <c r="BU139" s="59"/>
      <c r="BV139" s="59" t="str">
        <f t="shared" si="402"/>
        <v>1ERA-ABR-2012</v>
      </c>
      <c r="BW139" s="59" t="str">
        <f t="shared" si="403"/>
        <v>2DA-ABR-2012</v>
      </c>
      <c r="BX139" s="59" t="str">
        <f t="shared" si="404"/>
        <v>2DA-ABR-2012</v>
      </c>
      <c r="BY139" s="59" t="str">
        <f t="shared" si="405"/>
        <v>ND</v>
      </c>
      <c r="BZ139" s="59" t="str">
        <f t="shared" si="339"/>
        <v>SEM 13</v>
      </c>
      <c r="CA139" s="59" t="str">
        <f t="shared" si="340"/>
        <v>MAR</v>
      </c>
      <c r="CB139" s="59" t="str">
        <f t="shared" si="341"/>
        <v>SEM 17</v>
      </c>
      <c r="CC139" s="59" t="str">
        <f t="shared" si="342"/>
        <v>ABR</v>
      </c>
      <c r="CD139" s="59" t="str">
        <f t="shared" si="343"/>
        <v>NA</v>
      </c>
      <c r="CE139" s="59" t="str">
        <f t="shared" si="344"/>
        <v/>
      </c>
      <c r="CF139" s="59" t="str">
        <f t="shared" si="345"/>
        <v>2DA-ABR</v>
      </c>
      <c r="CG139" s="59" t="str">
        <f t="shared" ca="1" si="346"/>
        <v>MAYOR A 2 MESES</v>
      </c>
      <c r="CH139" s="59" t="str">
        <f t="shared" ca="1" si="347"/>
        <v>MAYOR A 2 MESES</v>
      </c>
      <c r="CI139" s="59" t="str">
        <f t="shared" ca="1" si="348"/>
        <v>DE 31 A 35 DIAS</v>
      </c>
      <c r="CJ139" s="59" t="str">
        <f t="shared" ca="1" si="349"/>
        <v>DE 31 A 35 DIAS</v>
      </c>
      <c r="CK139" s="59" t="str">
        <f t="shared" ca="1" si="350"/>
        <v>DE 31 A 35 DIAS</v>
      </c>
      <c r="CL139" s="8">
        <v>30000</v>
      </c>
      <c r="CM139" s="8">
        <v>50000</v>
      </c>
      <c r="CN139" s="8">
        <v>120000</v>
      </c>
      <c r="CO139" s="8"/>
      <c r="CP139" s="8"/>
      <c r="CQ139" s="8"/>
      <c r="CR139" s="8"/>
      <c r="CS139" s="8"/>
      <c r="CT139" s="8"/>
      <c r="CU139" s="8"/>
      <c r="CV139" s="8"/>
      <c r="CW139" s="8" t="s">
        <v>250</v>
      </c>
      <c r="CX139" s="8" t="s">
        <v>250</v>
      </c>
      <c r="CY139" s="8"/>
      <c r="CZ139" s="8"/>
      <c r="DA139" s="8"/>
      <c r="DB139" s="8"/>
      <c r="DC139" s="8"/>
      <c r="DD139" s="8"/>
      <c r="DE139" s="8"/>
      <c r="DF139" s="8"/>
      <c r="DG139" s="8">
        <f t="shared" si="363"/>
        <v>0</v>
      </c>
      <c r="DH139" s="8">
        <f t="shared" si="364"/>
        <v>170000</v>
      </c>
      <c r="DI139" s="8">
        <f t="shared" si="365"/>
        <v>0</v>
      </c>
      <c r="DJ139" s="25">
        <v>41014</v>
      </c>
      <c r="DK139" s="25">
        <v>41029</v>
      </c>
      <c r="DL139" s="8"/>
      <c r="DM139" s="8"/>
      <c r="DN139" s="8"/>
      <c r="DO139" s="8"/>
      <c r="DP139" s="8"/>
      <c r="DQ139" s="8"/>
      <c r="DR139" s="8"/>
      <c r="DS139" s="8"/>
      <c r="DT139" s="59" t="str">
        <f t="shared" si="366"/>
        <v>SEM 16</v>
      </c>
      <c r="DU139" s="59" t="str">
        <f t="shared" si="367"/>
        <v>SEM 18</v>
      </c>
      <c r="DV139" s="59" t="str">
        <f t="shared" si="368"/>
        <v>NA</v>
      </c>
      <c r="DW139" s="59" t="str">
        <f t="shared" si="369"/>
        <v>NA</v>
      </c>
      <c r="DX139" s="59" t="str">
        <f t="shared" si="370"/>
        <v>NA</v>
      </c>
      <c r="DY139" s="59" t="str">
        <f t="shared" si="371"/>
        <v>NA</v>
      </c>
      <c r="DZ139" s="59" t="str">
        <f t="shared" si="372"/>
        <v>NA</v>
      </c>
      <c r="EA139" s="59" t="str">
        <f t="shared" si="373"/>
        <v>NA</v>
      </c>
      <c r="EB139" s="59" t="str">
        <f t="shared" si="374"/>
        <v>NA</v>
      </c>
      <c r="EC139" s="59" t="str">
        <f t="shared" si="375"/>
        <v>NA</v>
      </c>
      <c r="ED139" s="59" t="str">
        <f t="shared" si="376"/>
        <v>ABR</v>
      </c>
      <c r="EE139" s="59" t="str">
        <f t="shared" si="377"/>
        <v>ABR</v>
      </c>
      <c r="EF139" s="59" t="str">
        <f t="shared" si="378"/>
        <v/>
      </c>
      <c r="EG139" s="59" t="str">
        <f t="shared" si="379"/>
        <v/>
      </c>
      <c r="EH139" s="59" t="str">
        <f t="shared" si="380"/>
        <v/>
      </c>
      <c r="EI139" s="59" t="str">
        <f t="shared" si="381"/>
        <v/>
      </c>
      <c r="EJ139" s="59" t="str">
        <f t="shared" si="382"/>
        <v/>
      </c>
      <c r="EK139" s="59" t="str">
        <f t="shared" si="383"/>
        <v/>
      </c>
      <c r="EL139" s="59" t="str">
        <f t="shared" si="384"/>
        <v/>
      </c>
      <c r="EM139" s="59" t="str">
        <f t="shared" si="385"/>
        <v/>
      </c>
      <c r="EN139" s="59">
        <f t="shared" si="386"/>
        <v>2012</v>
      </c>
      <c r="EO139" s="59">
        <f t="shared" si="387"/>
        <v>2012</v>
      </c>
      <c r="EP139" s="59" t="str">
        <f t="shared" si="388"/>
        <v/>
      </c>
      <c r="EQ139" s="59" t="str">
        <f t="shared" si="389"/>
        <v/>
      </c>
      <c r="ER139" s="59" t="str">
        <f t="shared" si="390"/>
        <v/>
      </c>
      <c r="ES139" s="59" t="str">
        <f t="shared" si="391"/>
        <v/>
      </c>
      <c r="ET139" s="59" t="str">
        <f t="shared" si="392"/>
        <v/>
      </c>
      <c r="EU139" s="59" t="str">
        <f t="shared" si="393"/>
        <v/>
      </c>
      <c r="EV139" s="59" t="str">
        <f t="shared" si="394"/>
        <v/>
      </c>
      <c r="EW139" s="59" t="str">
        <f t="shared" si="395"/>
        <v/>
      </c>
      <c r="EX139" s="56">
        <f t="shared" si="351"/>
        <v>940684.80000000005</v>
      </c>
    </row>
    <row r="140" spans="1:154" x14ac:dyDescent="0.25">
      <c r="A140" s="2">
        <f t="shared" si="396"/>
        <v>139</v>
      </c>
      <c r="B140" s="2" t="s">
        <v>6</v>
      </c>
      <c r="C140" s="2" t="str">
        <f t="shared" si="352"/>
        <v>020902</v>
      </c>
      <c r="D140" s="2">
        <v>2</v>
      </c>
      <c r="E140" s="2">
        <v>9</v>
      </c>
      <c r="F140" s="2">
        <v>2</v>
      </c>
      <c r="G140" s="11" t="s">
        <v>17</v>
      </c>
      <c r="H140" s="4"/>
      <c r="I140" s="42" t="s">
        <v>40</v>
      </c>
      <c r="J140" s="9">
        <v>80</v>
      </c>
      <c r="K140" s="5"/>
      <c r="L140" s="6" t="s">
        <v>306</v>
      </c>
      <c r="M140" s="22" t="s">
        <v>176</v>
      </c>
      <c r="N140" s="7">
        <f t="shared" si="397"/>
        <v>1126000</v>
      </c>
      <c r="O140" s="8">
        <v>178</v>
      </c>
      <c r="P140" s="25">
        <v>41136</v>
      </c>
      <c r="Q140" s="8" t="str">
        <f t="shared" si="353"/>
        <v>2DA-AGO</v>
      </c>
      <c r="R140" s="26">
        <v>1</v>
      </c>
      <c r="S140" s="41" t="s">
        <v>33</v>
      </c>
      <c r="T140" s="8" t="s">
        <v>352</v>
      </c>
      <c r="U140" s="25">
        <v>41061</v>
      </c>
      <c r="V140" s="7">
        <v>563000</v>
      </c>
      <c r="W140" s="7">
        <f t="shared" si="354"/>
        <v>112600</v>
      </c>
      <c r="X140" s="7">
        <f t="shared" si="355"/>
        <v>0</v>
      </c>
      <c r="Y140" s="7">
        <v>112600</v>
      </c>
      <c r="Z140" s="7">
        <f t="shared" si="356"/>
        <v>0</v>
      </c>
      <c r="AA140" s="148" t="str">
        <f t="shared" si="357"/>
        <v>20%</v>
      </c>
      <c r="AB140" s="148">
        <f t="shared" si="358"/>
        <v>0.8</v>
      </c>
      <c r="AC140" s="25">
        <f ca="1">TODAY()-39</f>
        <v>41083</v>
      </c>
      <c r="AD140" s="25">
        <f t="shared" ref="AD140:AE140" ca="1" si="420">TODAY()-39</f>
        <v>41083</v>
      </c>
      <c r="AE140" s="25">
        <f t="shared" ca="1" si="420"/>
        <v>41083</v>
      </c>
      <c r="AF140" s="25">
        <v>40998</v>
      </c>
      <c r="AG140" s="59" t="str">
        <f t="shared" ca="1" si="360"/>
        <v>MAYOR A 2 MESES</v>
      </c>
      <c r="AH140" s="8" t="s">
        <v>146</v>
      </c>
      <c r="AI140" s="8"/>
      <c r="AJ140" s="8"/>
      <c r="AK140" s="8"/>
      <c r="AL140" s="8"/>
      <c r="AM140" s="8"/>
      <c r="AN140" s="8"/>
      <c r="AO140" s="8">
        <v>3216543</v>
      </c>
      <c r="AP140" s="8">
        <v>665654</v>
      </c>
      <c r="AQ140" s="8"/>
      <c r="AR140" s="59" t="str">
        <f t="shared" si="409"/>
        <v>SEM 13</v>
      </c>
      <c r="AS140" s="59" t="str">
        <f t="shared" si="410"/>
        <v>MAR</v>
      </c>
      <c r="AT140" s="59">
        <v>32000</v>
      </c>
      <c r="AU140" s="59" t="str">
        <f t="shared" si="337"/>
        <v>ENTRE 25 Y 35 MIL</v>
      </c>
      <c r="AV140" s="66" t="s">
        <v>74</v>
      </c>
      <c r="AW140" s="66" t="s">
        <v>38</v>
      </c>
      <c r="AX140" s="66" t="s">
        <v>85</v>
      </c>
      <c r="AY140" s="66" t="s">
        <v>173</v>
      </c>
      <c r="AZ140" s="25">
        <v>40998</v>
      </c>
      <c r="BA140" s="8" t="s">
        <v>67</v>
      </c>
      <c r="BB140" s="25">
        <v>41004</v>
      </c>
      <c r="BC140" s="25">
        <v>41019</v>
      </c>
      <c r="BD140" s="25">
        <f>+BB140+15</f>
        <v>41019</v>
      </c>
      <c r="BE140" s="25"/>
      <c r="BF140" s="25">
        <f>+BD140+15</f>
        <v>41034</v>
      </c>
      <c r="BG140" s="25">
        <v>41044</v>
      </c>
      <c r="BH140" s="25"/>
      <c r="BI140" s="8">
        <v>58</v>
      </c>
      <c r="BJ140" s="25">
        <v>41059</v>
      </c>
      <c r="BK140" s="59" t="s">
        <v>371</v>
      </c>
      <c r="BL140" s="59" t="s">
        <v>371</v>
      </c>
      <c r="BM140" s="59" t="s">
        <v>371</v>
      </c>
      <c r="BN140" s="164">
        <v>0.01</v>
      </c>
      <c r="BO140" s="165">
        <f t="shared" si="361"/>
        <v>3753.3333333333335</v>
      </c>
      <c r="BP140" s="165">
        <f t="shared" ref="BP140:BQ140" si="421">BO140</f>
        <v>3753.3333333333335</v>
      </c>
      <c r="BQ140" s="165">
        <f t="shared" si="421"/>
        <v>3753.3333333333335</v>
      </c>
      <c r="BR140" s="162">
        <v>41005</v>
      </c>
      <c r="BS140" s="162">
        <v>41029</v>
      </c>
      <c r="BT140" s="162">
        <v>41044</v>
      </c>
      <c r="BU140" s="162"/>
      <c r="BV140" s="59" t="str">
        <f t="shared" si="402"/>
        <v>1ERA-ABR-2012</v>
      </c>
      <c r="BW140" s="59" t="str">
        <f t="shared" si="403"/>
        <v>2DA-ABR-2012</v>
      </c>
      <c r="BX140" s="59" t="str">
        <f t="shared" si="404"/>
        <v>2DA-MAY-2012</v>
      </c>
      <c r="BY140" s="59" t="str">
        <f t="shared" si="405"/>
        <v>ND</v>
      </c>
      <c r="BZ140" s="59" t="str">
        <f t="shared" si="339"/>
        <v>SEM 13</v>
      </c>
      <c r="CA140" s="59" t="str">
        <f t="shared" si="340"/>
        <v>MAR</v>
      </c>
      <c r="CB140" s="59" t="str">
        <f t="shared" si="341"/>
        <v>SEM 18</v>
      </c>
      <c r="CC140" s="59" t="str">
        <f t="shared" si="342"/>
        <v>MAY</v>
      </c>
      <c r="CD140" s="59" t="str">
        <f t="shared" si="343"/>
        <v>SEM 22</v>
      </c>
      <c r="CE140" s="59" t="str">
        <f t="shared" si="344"/>
        <v>MAY</v>
      </c>
      <c r="CF140" s="59" t="str">
        <f t="shared" si="345"/>
        <v>1RA-MAY</v>
      </c>
      <c r="CG140" s="59" t="str">
        <f t="shared" ca="1" si="346"/>
        <v>MAYOR A 2 MESES</v>
      </c>
      <c r="CH140" s="59" t="str">
        <f t="shared" ca="1" si="347"/>
        <v>MAYOR A 2 MESES</v>
      </c>
      <c r="CI140" s="59" t="str">
        <f t="shared" ca="1" si="348"/>
        <v>DE 36 A 45 DIAS</v>
      </c>
      <c r="CJ140" s="59" t="str">
        <f t="shared" ca="1" si="349"/>
        <v>DE 36 A 45 DIAS</v>
      </c>
      <c r="CK140" s="59" t="str">
        <f t="shared" ca="1" si="350"/>
        <v>DE 36 A 45 DIAS</v>
      </c>
      <c r="CL140" s="8">
        <v>30000</v>
      </c>
      <c r="CM140" s="8">
        <v>50000</v>
      </c>
      <c r="CN140" s="8">
        <v>75000</v>
      </c>
      <c r="CO140" s="8"/>
      <c r="CP140" s="8"/>
      <c r="CQ140" s="8"/>
      <c r="CR140" s="8"/>
      <c r="CS140" s="8"/>
      <c r="CT140" s="8"/>
      <c r="CU140" s="8"/>
      <c r="CV140" s="8"/>
      <c r="CW140" s="8" t="s">
        <v>250</v>
      </c>
      <c r="CX140" s="8" t="s">
        <v>250</v>
      </c>
      <c r="CY140" s="8"/>
      <c r="CZ140" s="8"/>
      <c r="DA140" s="8"/>
      <c r="DB140" s="8"/>
      <c r="DC140" s="8"/>
      <c r="DD140" s="8"/>
      <c r="DE140" s="8"/>
      <c r="DF140" s="8"/>
      <c r="DG140" s="8">
        <f t="shared" si="363"/>
        <v>0</v>
      </c>
      <c r="DH140" s="8">
        <f t="shared" si="364"/>
        <v>125000</v>
      </c>
      <c r="DI140" s="8">
        <f t="shared" si="365"/>
        <v>0</v>
      </c>
      <c r="DJ140" s="25">
        <v>41014</v>
      </c>
      <c r="DK140" s="25">
        <v>41030</v>
      </c>
      <c r="DL140" s="8"/>
      <c r="DM140" s="8"/>
      <c r="DN140" s="8"/>
      <c r="DO140" s="8"/>
      <c r="DP140" s="8"/>
      <c r="DQ140" s="8"/>
      <c r="DR140" s="8"/>
      <c r="DS140" s="8"/>
      <c r="DT140" s="59" t="str">
        <f t="shared" si="366"/>
        <v>SEM 16</v>
      </c>
      <c r="DU140" s="59" t="str">
        <f t="shared" si="367"/>
        <v>SEM 18</v>
      </c>
      <c r="DV140" s="59" t="str">
        <f t="shared" si="368"/>
        <v>NA</v>
      </c>
      <c r="DW140" s="59" t="str">
        <f t="shared" si="369"/>
        <v>NA</v>
      </c>
      <c r="DX140" s="59" t="str">
        <f t="shared" si="370"/>
        <v>NA</v>
      </c>
      <c r="DY140" s="59" t="str">
        <f t="shared" si="371"/>
        <v>NA</v>
      </c>
      <c r="DZ140" s="59" t="str">
        <f t="shared" si="372"/>
        <v>NA</v>
      </c>
      <c r="EA140" s="59" t="str">
        <f t="shared" si="373"/>
        <v>NA</v>
      </c>
      <c r="EB140" s="59" t="str">
        <f t="shared" si="374"/>
        <v>NA</v>
      </c>
      <c r="EC140" s="59" t="str">
        <f t="shared" si="375"/>
        <v>NA</v>
      </c>
      <c r="ED140" s="59" t="str">
        <f t="shared" si="376"/>
        <v>ABR</v>
      </c>
      <c r="EE140" s="59" t="str">
        <f t="shared" si="377"/>
        <v>MAY</v>
      </c>
      <c r="EF140" s="59" t="str">
        <f t="shared" si="378"/>
        <v/>
      </c>
      <c r="EG140" s="59" t="str">
        <f t="shared" si="379"/>
        <v/>
      </c>
      <c r="EH140" s="59" t="str">
        <f t="shared" si="380"/>
        <v/>
      </c>
      <c r="EI140" s="59" t="str">
        <f t="shared" si="381"/>
        <v/>
      </c>
      <c r="EJ140" s="59" t="str">
        <f t="shared" si="382"/>
        <v/>
      </c>
      <c r="EK140" s="59" t="str">
        <f t="shared" si="383"/>
        <v/>
      </c>
      <c r="EL140" s="59" t="str">
        <f t="shared" si="384"/>
        <v/>
      </c>
      <c r="EM140" s="59" t="str">
        <f t="shared" si="385"/>
        <v/>
      </c>
      <c r="EN140" s="59">
        <f t="shared" si="386"/>
        <v>2012</v>
      </c>
      <c r="EO140" s="59">
        <f t="shared" si="387"/>
        <v>2012</v>
      </c>
      <c r="EP140" s="59" t="str">
        <f t="shared" si="388"/>
        <v/>
      </c>
      <c r="EQ140" s="59" t="str">
        <f t="shared" si="389"/>
        <v/>
      </c>
      <c r="ER140" s="59" t="str">
        <f t="shared" si="390"/>
        <v/>
      </c>
      <c r="ES140" s="59" t="str">
        <f t="shared" si="391"/>
        <v/>
      </c>
      <c r="ET140" s="59" t="str">
        <f t="shared" si="392"/>
        <v/>
      </c>
      <c r="EU140" s="59" t="str">
        <f t="shared" si="393"/>
        <v/>
      </c>
      <c r="EV140" s="59" t="str">
        <f t="shared" si="394"/>
        <v/>
      </c>
      <c r="EW140" s="59" t="str">
        <f t="shared" si="395"/>
        <v/>
      </c>
      <c r="EX140" s="56">
        <f t="shared" si="351"/>
        <v>971000</v>
      </c>
    </row>
    <row r="141" spans="1:154" x14ac:dyDescent="0.25">
      <c r="A141" s="2">
        <f t="shared" si="396"/>
        <v>140</v>
      </c>
      <c r="B141" s="2" t="s">
        <v>6</v>
      </c>
      <c r="C141" s="2" t="str">
        <f t="shared" si="352"/>
        <v>020903</v>
      </c>
      <c r="D141" s="2">
        <v>2</v>
      </c>
      <c r="E141" s="2">
        <v>9</v>
      </c>
      <c r="F141" s="2">
        <v>3</v>
      </c>
      <c r="G141" s="11" t="s">
        <v>17</v>
      </c>
      <c r="H141" s="4"/>
      <c r="I141" s="42" t="s">
        <v>39</v>
      </c>
      <c r="J141" s="9">
        <v>80</v>
      </c>
      <c r="K141" s="5"/>
      <c r="L141" s="6" t="s">
        <v>306</v>
      </c>
      <c r="M141" s="22" t="s">
        <v>176</v>
      </c>
      <c r="N141" s="7">
        <f t="shared" si="397"/>
        <v>1126000</v>
      </c>
      <c r="O141" s="8">
        <v>179</v>
      </c>
      <c r="P141" s="25">
        <v>41136</v>
      </c>
      <c r="Q141" s="8" t="str">
        <f t="shared" si="353"/>
        <v>2DA-AGO</v>
      </c>
      <c r="R141" s="26">
        <v>0.8</v>
      </c>
      <c r="S141" s="41" t="s">
        <v>33</v>
      </c>
      <c r="T141" s="8" t="s">
        <v>352</v>
      </c>
      <c r="U141" s="25">
        <v>41061</v>
      </c>
      <c r="V141" s="7">
        <v>563000</v>
      </c>
      <c r="W141" s="7">
        <f>+V141*0.79</f>
        <v>444770</v>
      </c>
      <c r="X141" s="7">
        <f t="shared" si="355"/>
        <v>0</v>
      </c>
      <c r="Y141" s="7">
        <v>444770</v>
      </c>
      <c r="Z141" s="7">
        <f t="shared" si="356"/>
        <v>0</v>
      </c>
      <c r="AA141" s="148" t="str">
        <f t="shared" si="357"/>
        <v>80%</v>
      </c>
      <c r="AB141" s="148">
        <f t="shared" si="358"/>
        <v>0.19999999999999996</v>
      </c>
      <c r="AC141" s="25">
        <f ca="1">TODAY()-45</f>
        <v>41077</v>
      </c>
      <c r="AD141" s="25">
        <f t="shared" ref="AD141:AE141" ca="1" si="422">TODAY()-45</f>
        <v>41077</v>
      </c>
      <c r="AE141" s="25">
        <f t="shared" ca="1" si="422"/>
        <v>41077</v>
      </c>
      <c r="AF141" s="8"/>
      <c r="AG141" s="59" t="str">
        <f t="shared" ca="1" si="360"/>
        <v>NA</v>
      </c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59" t="str">
        <f t="shared" si="409"/>
        <v>NA</v>
      </c>
      <c r="AS141" s="59" t="str">
        <f t="shared" si="410"/>
        <v/>
      </c>
      <c r="AT141" s="59"/>
      <c r="AU141" s="59" t="str">
        <f t="shared" si="337"/>
        <v>ND</v>
      </c>
      <c r="AV141" s="66"/>
      <c r="AW141" s="66"/>
      <c r="AX141" s="66"/>
      <c r="AY141" s="66"/>
      <c r="AZ141" s="8"/>
      <c r="BA141" s="8" t="s">
        <v>37</v>
      </c>
      <c r="BB141" s="8"/>
      <c r="BC141" s="8"/>
      <c r="BD141" s="8"/>
      <c r="BE141" s="8"/>
      <c r="BF141" s="8"/>
      <c r="BG141" s="8"/>
      <c r="BH141" s="8"/>
      <c r="BI141" s="8"/>
      <c r="BJ141" s="8"/>
      <c r="BK141" s="59"/>
      <c r="BL141" s="59"/>
      <c r="BM141" s="59"/>
      <c r="BN141" s="164">
        <v>0.01</v>
      </c>
      <c r="BO141" s="165">
        <f t="shared" si="361"/>
        <v>3753.3333333333335</v>
      </c>
      <c r="BP141" s="165">
        <f t="shared" ref="BP141:BQ141" si="423">BO141</f>
        <v>3753.3333333333335</v>
      </c>
      <c r="BQ141" s="165">
        <f t="shared" si="423"/>
        <v>3753.3333333333335</v>
      </c>
      <c r="BR141" s="59"/>
      <c r="BS141" s="59"/>
      <c r="BT141" s="59"/>
      <c r="BU141" s="59"/>
      <c r="BV141" s="59" t="str">
        <f t="shared" si="402"/>
        <v>ND</v>
      </c>
      <c r="BW141" s="59" t="str">
        <f t="shared" si="403"/>
        <v>ND</v>
      </c>
      <c r="BX141" s="59" t="str">
        <f t="shared" si="404"/>
        <v>ND</v>
      </c>
      <c r="BY141" s="59" t="str">
        <f t="shared" si="405"/>
        <v>ND</v>
      </c>
      <c r="BZ141" s="59" t="str">
        <f t="shared" si="339"/>
        <v>NA</v>
      </c>
      <c r="CA141" s="59" t="str">
        <f t="shared" si="340"/>
        <v/>
      </c>
      <c r="CB141" s="59" t="str">
        <f t="shared" si="341"/>
        <v>NA</v>
      </c>
      <c r="CC141" s="59" t="str">
        <f t="shared" si="342"/>
        <v/>
      </c>
      <c r="CD141" s="59" t="str">
        <f t="shared" si="343"/>
        <v>NA</v>
      </c>
      <c r="CE141" s="59" t="str">
        <f t="shared" si="344"/>
        <v/>
      </c>
      <c r="CF141" s="59" t="str">
        <f t="shared" si="345"/>
        <v>NA</v>
      </c>
      <c r="CG141" s="59" t="str">
        <f t="shared" ca="1" si="346"/>
        <v>NA</v>
      </c>
      <c r="CH141" s="59" t="str">
        <f t="shared" ca="1" si="347"/>
        <v>NA</v>
      </c>
      <c r="CI141" s="59" t="str">
        <f t="shared" ca="1" si="348"/>
        <v>DE 36 A 45 DIAS</v>
      </c>
      <c r="CJ141" s="59" t="str">
        <f t="shared" ca="1" si="349"/>
        <v>DE 36 A 45 DIAS</v>
      </c>
      <c r="CK141" s="59" t="str">
        <f t="shared" ca="1" si="350"/>
        <v>DE 36 A 45 DIAS</v>
      </c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>
        <f t="shared" si="363"/>
        <v>0</v>
      </c>
      <c r="DH141" s="8">
        <f t="shared" si="364"/>
        <v>0</v>
      </c>
      <c r="DI141" s="8">
        <f t="shared" si="365"/>
        <v>0</v>
      </c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59" t="str">
        <f t="shared" si="366"/>
        <v>NA</v>
      </c>
      <c r="DU141" s="59" t="str">
        <f t="shared" si="367"/>
        <v>NA</v>
      </c>
      <c r="DV141" s="59" t="str">
        <f t="shared" si="368"/>
        <v>NA</v>
      </c>
      <c r="DW141" s="59" t="str">
        <f t="shared" si="369"/>
        <v>NA</v>
      </c>
      <c r="DX141" s="59" t="str">
        <f t="shared" si="370"/>
        <v>NA</v>
      </c>
      <c r="DY141" s="59" t="str">
        <f t="shared" si="371"/>
        <v>NA</v>
      </c>
      <c r="DZ141" s="59" t="str">
        <f t="shared" si="372"/>
        <v>NA</v>
      </c>
      <c r="EA141" s="59" t="str">
        <f t="shared" si="373"/>
        <v>NA</v>
      </c>
      <c r="EB141" s="59" t="str">
        <f t="shared" si="374"/>
        <v>NA</v>
      </c>
      <c r="EC141" s="59" t="str">
        <f t="shared" si="375"/>
        <v>NA</v>
      </c>
      <c r="ED141" s="59" t="str">
        <f t="shared" si="376"/>
        <v/>
      </c>
      <c r="EE141" s="59" t="str">
        <f t="shared" si="377"/>
        <v/>
      </c>
      <c r="EF141" s="59" t="str">
        <f t="shared" si="378"/>
        <v/>
      </c>
      <c r="EG141" s="59" t="str">
        <f t="shared" si="379"/>
        <v/>
      </c>
      <c r="EH141" s="59" t="str">
        <f t="shared" si="380"/>
        <v/>
      </c>
      <c r="EI141" s="59" t="str">
        <f t="shared" si="381"/>
        <v/>
      </c>
      <c r="EJ141" s="59" t="str">
        <f t="shared" si="382"/>
        <v/>
      </c>
      <c r="EK141" s="59" t="str">
        <f t="shared" si="383"/>
        <v/>
      </c>
      <c r="EL141" s="59" t="str">
        <f t="shared" si="384"/>
        <v/>
      </c>
      <c r="EM141" s="59" t="str">
        <f t="shared" si="385"/>
        <v/>
      </c>
      <c r="EN141" s="59" t="str">
        <f t="shared" si="386"/>
        <v/>
      </c>
      <c r="EO141" s="59" t="str">
        <f t="shared" si="387"/>
        <v/>
      </c>
      <c r="EP141" s="59" t="str">
        <f t="shared" si="388"/>
        <v/>
      </c>
      <c r="EQ141" s="59" t="str">
        <f t="shared" si="389"/>
        <v/>
      </c>
      <c r="ER141" s="59" t="str">
        <f t="shared" si="390"/>
        <v/>
      </c>
      <c r="ES141" s="59" t="str">
        <f t="shared" si="391"/>
        <v/>
      </c>
      <c r="ET141" s="59" t="str">
        <f t="shared" si="392"/>
        <v/>
      </c>
      <c r="EU141" s="59" t="str">
        <f t="shared" si="393"/>
        <v/>
      </c>
      <c r="EV141" s="59" t="str">
        <f t="shared" si="394"/>
        <v/>
      </c>
      <c r="EW141" s="59" t="str">
        <f t="shared" si="395"/>
        <v/>
      </c>
      <c r="EX141" s="56">
        <f t="shared" si="351"/>
        <v>1126000</v>
      </c>
    </row>
    <row r="142" spans="1:154" x14ac:dyDescent="0.25">
      <c r="A142" s="2">
        <f t="shared" si="396"/>
        <v>141</v>
      </c>
      <c r="B142" s="2" t="s">
        <v>6</v>
      </c>
      <c r="C142" s="2" t="str">
        <f t="shared" si="352"/>
        <v>020904</v>
      </c>
      <c r="D142" s="2">
        <v>2</v>
      </c>
      <c r="E142" s="2">
        <v>9</v>
      </c>
      <c r="F142" s="2">
        <v>4</v>
      </c>
      <c r="G142" s="11" t="s">
        <v>17</v>
      </c>
      <c r="H142" s="4"/>
      <c r="I142" s="42" t="s">
        <v>39</v>
      </c>
      <c r="J142" s="9">
        <v>80</v>
      </c>
      <c r="K142" s="9"/>
      <c r="L142" s="10" t="s">
        <v>8</v>
      </c>
      <c r="M142" s="22" t="s">
        <v>176</v>
      </c>
      <c r="N142" s="7">
        <f t="shared" si="397"/>
        <v>1135000</v>
      </c>
      <c r="O142" s="8">
        <v>180</v>
      </c>
      <c r="P142" s="25">
        <v>41136</v>
      </c>
      <c r="Q142" s="8" t="str">
        <f t="shared" si="353"/>
        <v>2DA-AGO</v>
      </c>
      <c r="R142" s="26">
        <v>0.8</v>
      </c>
      <c r="S142" s="41" t="s">
        <v>33</v>
      </c>
      <c r="T142" s="8" t="s">
        <v>352</v>
      </c>
      <c r="U142" s="25">
        <v>41061</v>
      </c>
      <c r="V142" s="7">
        <v>567500</v>
      </c>
      <c r="W142" s="7">
        <f t="shared" ref="W142:W153" si="424">+V142*0.79</f>
        <v>448325</v>
      </c>
      <c r="X142" s="7">
        <f t="shared" si="355"/>
        <v>0</v>
      </c>
      <c r="Y142" s="7">
        <v>448325</v>
      </c>
      <c r="Z142" s="7">
        <f t="shared" si="356"/>
        <v>0</v>
      </c>
      <c r="AA142" s="148" t="str">
        <f t="shared" si="357"/>
        <v>80%</v>
      </c>
      <c r="AB142" s="148">
        <f t="shared" si="358"/>
        <v>0.19999999999999996</v>
      </c>
      <c r="AC142" s="25">
        <f ca="1">TODAY()-50</f>
        <v>41072</v>
      </c>
      <c r="AD142" s="25">
        <f t="shared" ref="AD142:AE142" ca="1" si="425">TODAY()-50</f>
        <v>41072</v>
      </c>
      <c r="AE142" s="25">
        <f t="shared" ca="1" si="425"/>
        <v>41072</v>
      </c>
      <c r="AF142" s="8"/>
      <c r="AG142" s="59" t="str">
        <f t="shared" ca="1" si="360"/>
        <v>NA</v>
      </c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59" t="str">
        <f t="shared" si="409"/>
        <v>NA</v>
      </c>
      <c r="AS142" s="59" t="str">
        <f t="shared" si="410"/>
        <v/>
      </c>
      <c r="AT142" s="59"/>
      <c r="AU142" s="59" t="str">
        <f t="shared" si="337"/>
        <v>ND</v>
      </c>
      <c r="AV142" s="66"/>
      <c r="AW142" s="66"/>
      <c r="AX142" s="66"/>
      <c r="AY142" s="66"/>
      <c r="AZ142" s="8"/>
      <c r="BA142" s="8" t="s">
        <v>37</v>
      </c>
      <c r="BB142" s="8"/>
      <c r="BC142" s="8"/>
      <c r="BD142" s="8"/>
      <c r="BE142" s="8"/>
      <c r="BF142" s="8"/>
      <c r="BG142" s="8"/>
      <c r="BH142" s="8"/>
      <c r="BI142" s="8"/>
      <c r="BJ142" s="8"/>
      <c r="BK142" s="59"/>
      <c r="BL142" s="59"/>
      <c r="BM142" s="59"/>
      <c r="BN142" s="164">
        <v>0.01</v>
      </c>
      <c r="BO142" s="165">
        <f t="shared" si="361"/>
        <v>3783.3333333333335</v>
      </c>
      <c r="BP142" s="165">
        <f t="shared" ref="BP142:BQ142" si="426">BO142</f>
        <v>3783.3333333333335</v>
      </c>
      <c r="BQ142" s="165">
        <f t="shared" si="426"/>
        <v>3783.3333333333335</v>
      </c>
      <c r="BR142" s="59"/>
      <c r="BS142" s="59"/>
      <c r="BT142" s="59"/>
      <c r="BU142" s="59"/>
      <c r="BV142" s="59" t="str">
        <f t="shared" si="402"/>
        <v>ND</v>
      </c>
      <c r="BW142" s="59" t="str">
        <f t="shared" si="403"/>
        <v>ND</v>
      </c>
      <c r="BX142" s="59" t="str">
        <f t="shared" si="404"/>
        <v>ND</v>
      </c>
      <c r="BY142" s="59" t="str">
        <f t="shared" si="405"/>
        <v>ND</v>
      </c>
      <c r="BZ142" s="59" t="str">
        <f t="shared" si="339"/>
        <v>NA</v>
      </c>
      <c r="CA142" s="59" t="str">
        <f t="shared" si="340"/>
        <v/>
      </c>
      <c r="CB142" s="59" t="str">
        <f t="shared" si="341"/>
        <v>NA</v>
      </c>
      <c r="CC142" s="59" t="str">
        <f t="shared" si="342"/>
        <v/>
      </c>
      <c r="CD142" s="59" t="str">
        <f t="shared" si="343"/>
        <v>NA</v>
      </c>
      <c r="CE142" s="59" t="str">
        <f t="shared" si="344"/>
        <v/>
      </c>
      <c r="CF142" s="59" t="str">
        <f t="shared" si="345"/>
        <v>NA</v>
      </c>
      <c r="CG142" s="59" t="str">
        <f t="shared" ca="1" si="346"/>
        <v>NA</v>
      </c>
      <c r="CH142" s="59" t="str">
        <f t="shared" ca="1" si="347"/>
        <v>NA</v>
      </c>
      <c r="CI142" s="59" t="str">
        <f t="shared" ca="1" si="348"/>
        <v>MAYOR A 45 DIAS</v>
      </c>
      <c r="CJ142" s="59" t="str">
        <f t="shared" ca="1" si="349"/>
        <v>MAYOR A 45 DIAS</v>
      </c>
      <c r="CK142" s="59" t="str">
        <f t="shared" ca="1" si="350"/>
        <v>MAYOR A 45 DIAS</v>
      </c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>
        <f t="shared" si="363"/>
        <v>0</v>
      </c>
      <c r="DH142" s="8">
        <f t="shared" si="364"/>
        <v>0</v>
      </c>
      <c r="DI142" s="8">
        <f t="shared" si="365"/>
        <v>0</v>
      </c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59" t="str">
        <f t="shared" si="366"/>
        <v>NA</v>
      </c>
      <c r="DU142" s="59" t="str">
        <f t="shared" si="367"/>
        <v>NA</v>
      </c>
      <c r="DV142" s="59" t="str">
        <f t="shared" si="368"/>
        <v>NA</v>
      </c>
      <c r="DW142" s="59" t="str">
        <f t="shared" si="369"/>
        <v>NA</v>
      </c>
      <c r="DX142" s="59" t="str">
        <f t="shared" si="370"/>
        <v>NA</v>
      </c>
      <c r="DY142" s="59" t="str">
        <f t="shared" si="371"/>
        <v>NA</v>
      </c>
      <c r="DZ142" s="59" t="str">
        <f t="shared" si="372"/>
        <v>NA</v>
      </c>
      <c r="EA142" s="59" t="str">
        <f t="shared" si="373"/>
        <v>NA</v>
      </c>
      <c r="EB142" s="59" t="str">
        <f t="shared" si="374"/>
        <v>NA</v>
      </c>
      <c r="EC142" s="59" t="str">
        <f t="shared" si="375"/>
        <v>NA</v>
      </c>
      <c r="ED142" s="59" t="str">
        <f t="shared" si="376"/>
        <v/>
      </c>
      <c r="EE142" s="59" t="str">
        <f t="shared" si="377"/>
        <v/>
      </c>
      <c r="EF142" s="59" t="str">
        <f t="shared" si="378"/>
        <v/>
      </c>
      <c r="EG142" s="59" t="str">
        <f t="shared" si="379"/>
        <v/>
      </c>
      <c r="EH142" s="59" t="str">
        <f t="shared" si="380"/>
        <v/>
      </c>
      <c r="EI142" s="59" t="str">
        <f t="shared" si="381"/>
        <v/>
      </c>
      <c r="EJ142" s="59" t="str">
        <f t="shared" si="382"/>
        <v/>
      </c>
      <c r="EK142" s="59" t="str">
        <f t="shared" si="383"/>
        <v/>
      </c>
      <c r="EL142" s="59" t="str">
        <f t="shared" si="384"/>
        <v/>
      </c>
      <c r="EM142" s="59" t="str">
        <f t="shared" si="385"/>
        <v/>
      </c>
      <c r="EN142" s="59" t="str">
        <f t="shared" si="386"/>
        <v/>
      </c>
      <c r="EO142" s="59" t="str">
        <f t="shared" si="387"/>
        <v/>
      </c>
      <c r="EP142" s="59" t="str">
        <f t="shared" si="388"/>
        <v/>
      </c>
      <c r="EQ142" s="59" t="str">
        <f t="shared" si="389"/>
        <v/>
      </c>
      <c r="ER142" s="59" t="str">
        <f t="shared" si="390"/>
        <v/>
      </c>
      <c r="ES142" s="59" t="str">
        <f t="shared" si="391"/>
        <v/>
      </c>
      <c r="ET142" s="59" t="str">
        <f t="shared" si="392"/>
        <v/>
      </c>
      <c r="EU142" s="59" t="str">
        <f t="shared" si="393"/>
        <v/>
      </c>
      <c r="EV142" s="59" t="str">
        <f t="shared" si="394"/>
        <v/>
      </c>
      <c r="EW142" s="59" t="str">
        <f t="shared" si="395"/>
        <v/>
      </c>
      <c r="EX142" s="56">
        <f t="shared" si="351"/>
        <v>1135000</v>
      </c>
    </row>
    <row r="143" spans="1:154" x14ac:dyDescent="0.25">
      <c r="A143" s="2">
        <f t="shared" si="396"/>
        <v>142</v>
      </c>
      <c r="B143" s="2" t="s">
        <v>6</v>
      </c>
      <c r="C143" s="2" t="str">
        <f t="shared" si="352"/>
        <v>020905</v>
      </c>
      <c r="D143" s="2">
        <v>2</v>
      </c>
      <c r="E143" s="2">
        <v>9</v>
      </c>
      <c r="F143" s="2">
        <v>5</v>
      </c>
      <c r="G143" s="11" t="s">
        <v>17</v>
      </c>
      <c r="H143" s="4"/>
      <c r="I143" s="42" t="s">
        <v>60</v>
      </c>
      <c r="J143" s="9">
        <v>80</v>
      </c>
      <c r="K143" s="5"/>
      <c r="L143" s="6" t="s">
        <v>306</v>
      </c>
      <c r="M143" s="22" t="s">
        <v>176</v>
      </c>
      <c r="N143" s="7">
        <f t="shared" si="397"/>
        <v>1126000</v>
      </c>
      <c r="O143" s="8">
        <v>181</v>
      </c>
      <c r="P143" s="25">
        <v>41136</v>
      </c>
      <c r="Q143" s="8" t="str">
        <f t="shared" si="353"/>
        <v>2DA-AGO</v>
      </c>
      <c r="R143" s="26">
        <v>0.8</v>
      </c>
      <c r="S143" s="41" t="s">
        <v>33</v>
      </c>
      <c r="T143" s="8" t="s">
        <v>352</v>
      </c>
      <c r="U143" s="25">
        <v>41061</v>
      </c>
      <c r="V143" s="7">
        <v>563000</v>
      </c>
      <c r="W143" s="7">
        <f t="shared" si="424"/>
        <v>444770</v>
      </c>
      <c r="X143" s="7">
        <f t="shared" si="355"/>
        <v>0</v>
      </c>
      <c r="Y143" s="7">
        <v>444770</v>
      </c>
      <c r="Z143" s="7">
        <f t="shared" si="356"/>
        <v>0</v>
      </c>
      <c r="AA143" s="148" t="str">
        <f t="shared" si="357"/>
        <v>80%</v>
      </c>
      <c r="AB143" s="148">
        <f t="shared" si="358"/>
        <v>0.19999999999999996</v>
      </c>
      <c r="AC143" s="25">
        <f ca="1">TODAY()-4</f>
        <v>41118</v>
      </c>
      <c r="AD143" s="25">
        <f t="shared" ref="AD143:AE143" ca="1" si="427">TODAY()-4</f>
        <v>41118</v>
      </c>
      <c r="AE143" s="25">
        <f t="shared" ca="1" si="427"/>
        <v>41118</v>
      </c>
      <c r="AF143" s="25">
        <v>41019</v>
      </c>
      <c r="AG143" s="59" t="str">
        <f t="shared" ca="1" si="360"/>
        <v>MAYOR A 2 MESES</v>
      </c>
      <c r="AH143" s="55" t="s">
        <v>121</v>
      </c>
      <c r="AI143" s="55"/>
      <c r="AJ143" s="55"/>
      <c r="AK143" s="55"/>
      <c r="AL143" s="55"/>
      <c r="AM143" s="55"/>
      <c r="AN143" s="8"/>
      <c r="AO143" s="8">
        <v>32516351</v>
      </c>
      <c r="AP143" s="8">
        <v>651</v>
      </c>
      <c r="AQ143" s="8">
        <v>351</v>
      </c>
      <c r="AR143" s="59" t="str">
        <f t="shared" si="409"/>
        <v>SEM 16</v>
      </c>
      <c r="AS143" s="59" t="str">
        <f t="shared" si="410"/>
        <v>ABR</v>
      </c>
      <c r="AT143" s="59">
        <v>7000</v>
      </c>
      <c r="AU143" s="59" t="str">
        <f t="shared" si="337"/>
        <v>HASTA 12 MIL</v>
      </c>
      <c r="AV143" s="66" t="s">
        <v>71</v>
      </c>
      <c r="AW143" s="66" t="s">
        <v>38</v>
      </c>
      <c r="AX143" s="66" t="s">
        <v>84</v>
      </c>
      <c r="AY143" s="66" t="s">
        <v>173</v>
      </c>
      <c r="AZ143" s="25">
        <v>41029</v>
      </c>
      <c r="BA143" s="8" t="s">
        <v>36</v>
      </c>
      <c r="BB143" s="25">
        <v>41034</v>
      </c>
      <c r="BC143" s="25">
        <v>41141</v>
      </c>
      <c r="BD143" s="25">
        <v>41034</v>
      </c>
      <c r="BE143" s="25"/>
      <c r="BF143" s="8"/>
      <c r="BG143" s="8"/>
      <c r="BH143" s="8"/>
      <c r="BI143" s="8">
        <v>86</v>
      </c>
      <c r="BJ143" s="8"/>
      <c r="BK143" s="59" t="s">
        <v>371</v>
      </c>
      <c r="BL143" s="59" t="s">
        <v>378</v>
      </c>
      <c r="BM143" s="59" t="s">
        <v>378</v>
      </c>
      <c r="BN143" s="164">
        <v>0.01</v>
      </c>
      <c r="BO143" s="165">
        <f t="shared" si="361"/>
        <v>3753.3333333333335</v>
      </c>
      <c r="BP143" s="165">
        <f t="shared" ref="BP143:BQ143" si="428">BO143</f>
        <v>3753.3333333333335</v>
      </c>
      <c r="BQ143" s="165">
        <f t="shared" si="428"/>
        <v>3753.3333333333335</v>
      </c>
      <c r="BR143" s="162">
        <v>41044</v>
      </c>
      <c r="BS143" s="59"/>
      <c r="BT143" s="59"/>
      <c r="BU143" s="59"/>
      <c r="BV143" s="59" t="str">
        <f t="shared" si="402"/>
        <v>2DA-MAY-2012</v>
      </c>
      <c r="BW143" s="59" t="str">
        <f t="shared" si="403"/>
        <v>ND</v>
      </c>
      <c r="BX143" s="59" t="str">
        <f t="shared" si="404"/>
        <v>ND</v>
      </c>
      <c r="BY143" s="59" t="str">
        <f t="shared" si="405"/>
        <v>ND</v>
      </c>
      <c r="BZ143" s="59" t="str">
        <f t="shared" si="339"/>
        <v>SEM 18</v>
      </c>
      <c r="CA143" s="59" t="str">
        <f t="shared" si="340"/>
        <v>ABR</v>
      </c>
      <c r="CB143" s="59" t="str">
        <f t="shared" si="341"/>
        <v>NA</v>
      </c>
      <c r="CC143" s="59" t="str">
        <f t="shared" si="342"/>
        <v/>
      </c>
      <c r="CD143" s="59" t="str">
        <f t="shared" si="343"/>
        <v>NA</v>
      </c>
      <c r="CE143" s="59" t="str">
        <f t="shared" si="344"/>
        <v/>
      </c>
      <c r="CF143" s="59" t="str">
        <f t="shared" si="345"/>
        <v>2DA-AGO</v>
      </c>
      <c r="CG143" s="59" t="str">
        <f t="shared" ca="1" si="346"/>
        <v>MAYOR A 2 MESES</v>
      </c>
      <c r="CH143" s="59" t="str">
        <f t="shared" ca="1" si="347"/>
        <v>NA</v>
      </c>
      <c r="CI143" s="59" t="str">
        <f t="shared" ca="1" si="348"/>
        <v>HASTA 5 DIAS</v>
      </c>
      <c r="CJ143" s="59" t="str">
        <f t="shared" ca="1" si="349"/>
        <v>HASTA 5 DIAS</v>
      </c>
      <c r="CK143" s="59" t="str">
        <f t="shared" ca="1" si="350"/>
        <v>HASTA 5 DIAS</v>
      </c>
      <c r="CL143" s="8">
        <v>30000</v>
      </c>
      <c r="CM143" s="8">
        <v>10000</v>
      </c>
      <c r="CN143" s="8">
        <v>5000</v>
      </c>
      <c r="CO143" s="8">
        <v>50000</v>
      </c>
      <c r="CP143" s="8">
        <v>10000</v>
      </c>
      <c r="CQ143" s="8">
        <v>50000</v>
      </c>
      <c r="CR143" s="8"/>
      <c r="CS143" s="8"/>
      <c r="CT143" s="8"/>
      <c r="CU143" s="8"/>
      <c r="CV143" s="8"/>
      <c r="CW143" s="8" t="s">
        <v>250</v>
      </c>
      <c r="CX143" s="8" t="s">
        <v>250</v>
      </c>
      <c r="CY143" s="8" t="s">
        <v>250</v>
      </c>
      <c r="CZ143" s="8" t="s">
        <v>250</v>
      </c>
      <c r="DA143" s="8" t="s">
        <v>249</v>
      </c>
      <c r="DB143" s="8"/>
      <c r="DC143" s="8"/>
      <c r="DD143" s="8"/>
      <c r="DE143" s="8"/>
      <c r="DF143" s="8"/>
      <c r="DG143" s="8">
        <f t="shared" si="363"/>
        <v>50000</v>
      </c>
      <c r="DH143" s="8">
        <f t="shared" si="364"/>
        <v>75000</v>
      </c>
      <c r="DI143" s="8">
        <f t="shared" si="365"/>
        <v>0</v>
      </c>
      <c r="DJ143" s="25">
        <f>+AZ143+15</f>
        <v>41044</v>
      </c>
      <c r="DK143" s="25">
        <f>+DJ143+15</f>
        <v>41059</v>
      </c>
      <c r="DL143" s="25">
        <f>+DK143+15</f>
        <v>41074</v>
      </c>
      <c r="DM143" s="25">
        <f t="shared" ref="DM143:DM144" si="429">+DL143+15</f>
        <v>41089</v>
      </c>
      <c r="DN143" s="25">
        <f>+DM143+30</f>
        <v>41119</v>
      </c>
      <c r="DO143" s="8"/>
      <c r="DP143" s="8"/>
      <c r="DQ143" s="8"/>
      <c r="DR143" s="8"/>
      <c r="DS143" s="8"/>
      <c r="DT143" s="59" t="str">
        <f t="shared" si="366"/>
        <v>SEM 20</v>
      </c>
      <c r="DU143" s="59" t="str">
        <f t="shared" si="367"/>
        <v>SEM 22</v>
      </c>
      <c r="DV143" s="59" t="str">
        <f t="shared" si="368"/>
        <v>SEM 24</v>
      </c>
      <c r="DW143" s="59" t="str">
        <f t="shared" si="369"/>
        <v>SEM 26</v>
      </c>
      <c r="DX143" s="59" t="str">
        <f t="shared" si="370"/>
        <v>SEM 31</v>
      </c>
      <c r="DY143" s="59" t="str">
        <f t="shared" si="371"/>
        <v>NA</v>
      </c>
      <c r="DZ143" s="59" t="str">
        <f t="shared" si="372"/>
        <v>NA</v>
      </c>
      <c r="EA143" s="59" t="str">
        <f t="shared" si="373"/>
        <v>NA</v>
      </c>
      <c r="EB143" s="59" t="str">
        <f t="shared" si="374"/>
        <v>NA</v>
      </c>
      <c r="EC143" s="59" t="str">
        <f t="shared" si="375"/>
        <v>NA</v>
      </c>
      <c r="ED143" s="59" t="str">
        <f t="shared" si="376"/>
        <v>MAY</v>
      </c>
      <c r="EE143" s="59" t="str">
        <f t="shared" si="377"/>
        <v>MAY</v>
      </c>
      <c r="EF143" s="59" t="str">
        <f t="shared" si="378"/>
        <v>JUN</v>
      </c>
      <c r="EG143" s="59" t="str">
        <f t="shared" si="379"/>
        <v>JUN</v>
      </c>
      <c r="EH143" s="59" t="str">
        <f t="shared" si="380"/>
        <v>JUL</v>
      </c>
      <c r="EI143" s="59" t="str">
        <f t="shared" si="381"/>
        <v/>
      </c>
      <c r="EJ143" s="59" t="str">
        <f t="shared" si="382"/>
        <v/>
      </c>
      <c r="EK143" s="59" t="str">
        <f t="shared" si="383"/>
        <v/>
      </c>
      <c r="EL143" s="59" t="str">
        <f t="shared" si="384"/>
        <v/>
      </c>
      <c r="EM143" s="59" t="str">
        <f t="shared" si="385"/>
        <v/>
      </c>
      <c r="EN143" s="59">
        <f t="shared" si="386"/>
        <v>2012</v>
      </c>
      <c r="EO143" s="59">
        <f t="shared" si="387"/>
        <v>2012</v>
      </c>
      <c r="EP143" s="59">
        <f t="shared" si="388"/>
        <v>2012</v>
      </c>
      <c r="EQ143" s="59">
        <f t="shared" si="389"/>
        <v>2012</v>
      </c>
      <c r="ER143" s="59">
        <f t="shared" si="390"/>
        <v>2012</v>
      </c>
      <c r="ES143" s="59" t="str">
        <f t="shared" si="391"/>
        <v/>
      </c>
      <c r="ET143" s="59" t="str">
        <f t="shared" si="392"/>
        <v/>
      </c>
      <c r="EU143" s="59" t="str">
        <f t="shared" si="393"/>
        <v/>
      </c>
      <c r="EV143" s="59" t="str">
        <f t="shared" si="394"/>
        <v/>
      </c>
      <c r="EW143" s="59" t="str">
        <f t="shared" si="395"/>
        <v/>
      </c>
      <c r="EX143" s="56">
        <f t="shared" si="351"/>
        <v>971000</v>
      </c>
    </row>
    <row r="144" spans="1:154" x14ac:dyDescent="0.25">
      <c r="A144" s="2">
        <f t="shared" si="396"/>
        <v>143</v>
      </c>
      <c r="B144" s="2" t="s">
        <v>6</v>
      </c>
      <c r="C144" s="2" t="str">
        <f t="shared" si="352"/>
        <v>020906</v>
      </c>
      <c r="D144" s="2">
        <v>2</v>
      </c>
      <c r="E144" s="2">
        <v>9</v>
      </c>
      <c r="F144" s="2">
        <v>6</v>
      </c>
      <c r="G144" s="11" t="s">
        <v>17</v>
      </c>
      <c r="H144" s="4"/>
      <c r="I144" s="42" t="s">
        <v>60</v>
      </c>
      <c r="J144" s="9">
        <v>80</v>
      </c>
      <c r="K144" s="5"/>
      <c r="L144" s="6" t="s">
        <v>306</v>
      </c>
      <c r="M144" s="22" t="s">
        <v>176</v>
      </c>
      <c r="N144" s="7">
        <f t="shared" si="397"/>
        <v>1126000</v>
      </c>
      <c r="O144" s="8">
        <v>182</v>
      </c>
      <c r="P144" s="25">
        <v>41136</v>
      </c>
      <c r="Q144" s="8" t="str">
        <f t="shared" si="353"/>
        <v>2DA-AGO</v>
      </c>
      <c r="R144" s="26">
        <v>0.8</v>
      </c>
      <c r="S144" s="41" t="s">
        <v>33</v>
      </c>
      <c r="T144" s="8" t="s">
        <v>352</v>
      </c>
      <c r="U144" s="25">
        <v>41061</v>
      </c>
      <c r="V144" s="7">
        <v>563000</v>
      </c>
      <c r="W144" s="7">
        <f t="shared" si="424"/>
        <v>444770</v>
      </c>
      <c r="X144" s="7">
        <f t="shared" si="355"/>
        <v>0</v>
      </c>
      <c r="Y144" s="7">
        <v>444770</v>
      </c>
      <c r="Z144" s="7">
        <f t="shared" si="356"/>
        <v>0</v>
      </c>
      <c r="AA144" s="148" t="str">
        <f t="shared" si="357"/>
        <v>80%</v>
      </c>
      <c r="AB144" s="148">
        <f t="shared" si="358"/>
        <v>0.19999999999999996</v>
      </c>
      <c r="AC144" s="25">
        <f ca="1">TODAY()-9</f>
        <v>41113</v>
      </c>
      <c r="AD144" s="25">
        <f t="shared" ref="AD144:AE144" ca="1" si="430">TODAY()-9</f>
        <v>41113</v>
      </c>
      <c r="AE144" s="25">
        <f t="shared" ca="1" si="430"/>
        <v>41113</v>
      </c>
      <c r="AF144" s="25">
        <v>41019</v>
      </c>
      <c r="AG144" s="59" t="str">
        <f t="shared" ca="1" si="360"/>
        <v>MAYOR A 2 MESES</v>
      </c>
      <c r="AH144" s="55" t="s">
        <v>122</v>
      </c>
      <c r="AI144" s="55"/>
      <c r="AJ144" s="55"/>
      <c r="AK144" s="55"/>
      <c r="AL144" s="55"/>
      <c r="AM144" s="55"/>
      <c r="AN144" s="8"/>
      <c r="AO144" s="8">
        <v>36514654</v>
      </c>
      <c r="AP144" s="8">
        <v>651</v>
      </c>
      <c r="AQ144" s="8">
        <v>321</v>
      </c>
      <c r="AR144" s="59" t="str">
        <f t="shared" si="409"/>
        <v>SEM 16</v>
      </c>
      <c r="AS144" s="59" t="str">
        <f t="shared" si="410"/>
        <v>ABR</v>
      </c>
      <c r="AT144" s="59">
        <v>8000</v>
      </c>
      <c r="AU144" s="59" t="str">
        <f t="shared" si="337"/>
        <v>HASTA 12 MIL</v>
      </c>
      <c r="AV144" s="66" t="s">
        <v>73</v>
      </c>
      <c r="AW144" s="66" t="s">
        <v>38</v>
      </c>
      <c r="AX144" s="66" t="s">
        <v>80</v>
      </c>
      <c r="AY144" s="66" t="s">
        <v>173</v>
      </c>
      <c r="AZ144" s="25">
        <v>41019</v>
      </c>
      <c r="BA144" s="8" t="s">
        <v>65</v>
      </c>
      <c r="BB144" s="25">
        <v>41029</v>
      </c>
      <c r="BC144" s="25">
        <v>41141</v>
      </c>
      <c r="BD144" s="25">
        <v>41044</v>
      </c>
      <c r="BE144" s="25"/>
      <c r="BF144" s="8"/>
      <c r="BG144" s="8"/>
      <c r="BH144" s="8"/>
      <c r="BI144" s="8">
        <v>86</v>
      </c>
      <c r="BJ144" s="8"/>
      <c r="BK144" s="59" t="s">
        <v>371</v>
      </c>
      <c r="BL144" s="59" t="s">
        <v>371</v>
      </c>
      <c r="BM144" s="59" t="s">
        <v>378</v>
      </c>
      <c r="BN144" s="164">
        <v>0.01</v>
      </c>
      <c r="BO144" s="165">
        <f t="shared" si="361"/>
        <v>3753.3333333333335</v>
      </c>
      <c r="BP144" s="165">
        <f t="shared" ref="BP144:BQ144" si="431">BO144</f>
        <v>3753.3333333333335</v>
      </c>
      <c r="BQ144" s="165">
        <f t="shared" si="431"/>
        <v>3753.3333333333335</v>
      </c>
      <c r="BR144" s="162">
        <v>41044</v>
      </c>
      <c r="BS144" s="162">
        <v>41059</v>
      </c>
      <c r="BT144" s="59"/>
      <c r="BU144" s="59"/>
      <c r="BV144" s="59" t="str">
        <f t="shared" si="402"/>
        <v>2DA-MAY-2012</v>
      </c>
      <c r="BW144" s="59" t="str">
        <f t="shared" si="403"/>
        <v>2DA-MAY-2012</v>
      </c>
      <c r="BX144" s="59" t="str">
        <f t="shared" si="404"/>
        <v>ND</v>
      </c>
      <c r="BY144" s="59" t="str">
        <f t="shared" si="405"/>
        <v>ND</v>
      </c>
      <c r="BZ144" s="59" t="str">
        <f t="shared" si="339"/>
        <v>SEM 16</v>
      </c>
      <c r="CA144" s="59" t="str">
        <f t="shared" si="340"/>
        <v>ABR</v>
      </c>
      <c r="CB144" s="59" t="str">
        <f t="shared" si="341"/>
        <v>NA</v>
      </c>
      <c r="CC144" s="59" t="str">
        <f t="shared" si="342"/>
        <v/>
      </c>
      <c r="CD144" s="59" t="str">
        <f t="shared" si="343"/>
        <v>NA</v>
      </c>
      <c r="CE144" s="59" t="str">
        <f t="shared" si="344"/>
        <v/>
      </c>
      <c r="CF144" s="59" t="str">
        <f t="shared" si="345"/>
        <v>2DA-AGO</v>
      </c>
      <c r="CG144" s="59" t="str">
        <f t="shared" ca="1" si="346"/>
        <v>MAYOR A 2 MESES</v>
      </c>
      <c r="CH144" s="59" t="str">
        <f t="shared" ca="1" si="347"/>
        <v>NA</v>
      </c>
      <c r="CI144" s="59" t="str">
        <f t="shared" ca="1" si="348"/>
        <v>DE 6 A 10 DIAS</v>
      </c>
      <c r="CJ144" s="59" t="str">
        <f t="shared" ca="1" si="349"/>
        <v>DE 6 A 10 DIAS</v>
      </c>
      <c r="CK144" s="59" t="str">
        <f t="shared" ca="1" si="350"/>
        <v>DE 6 A 10 DIAS</v>
      </c>
      <c r="CL144" s="8">
        <v>30000</v>
      </c>
      <c r="CM144" s="8">
        <v>5000</v>
      </c>
      <c r="CN144" s="8">
        <v>45000</v>
      </c>
      <c r="CO144" s="8">
        <v>15000</v>
      </c>
      <c r="CP144" s="8">
        <v>10000</v>
      </c>
      <c r="CQ144" s="8"/>
      <c r="CR144" s="8"/>
      <c r="CS144" s="8"/>
      <c r="CT144" s="8"/>
      <c r="CU144" s="8"/>
      <c r="CV144" s="8"/>
      <c r="CW144" s="8" t="s">
        <v>250</v>
      </c>
      <c r="CX144" s="8" t="s">
        <v>250</v>
      </c>
      <c r="CY144" s="8" t="s">
        <v>250</v>
      </c>
      <c r="CZ144" s="8" t="s">
        <v>251</v>
      </c>
      <c r="DA144" s="8"/>
      <c r="DB144" s="8"/>
      <c r="DC144" s="8"/>
      <c r="DD144" s="8"/>
      <c r="DE144" s="8"/>
      <c r="DF144" s="8"/>
      <c r="DG144" s="8">
        <f t="shared" si="363"/>
        <v>0</v>
      </c>
      <c r="DH144" s="8">
        <f t="shared" si="364"/>
        <v>65000</v>
      </c>
      <c r="DI144" s="8">
        <f t="shared" si="365"/>
        <v>10000</v>
      </c>
      <c r="DJ144" s="25">
        <f>+AZ144+15</f>
        <v>41034</v>
      </c>
      <c r="DK144" s="25">
        <f>+DJ144+15</f>
        <v>41049</v>
      </c>
      <c r="DL144" s="25">
        <f>+DK144+15</f>
        <v>41064</v>
      </c>
      <c r="DM144" s="25">
        <f t="shared" si="429"/>
        <v>41079</v>
      </c>
      <c r="DN144" s="8"/>
      <c r="DO144" s="8"/>
      <c r="DP144" s="8"/>
      <c r="DQ144" s="8"/>
      <c r="DR144" s="8"/>
      <c r="DS144" s="8"/>
      <c r="DT144" s="59" t="str">
        <f t="shared" si="366"/>
        <v>SEM 18</v>
      </c>
      <c r="DU144" s="59" t="str">
        <f t="shared" si="367"/>
        <v>SEM 21</v>
      </c>
      <c r="DV144" s="59" t="str">
        <f t="shared" si="368"/>
        <v>SEM 23</v>
      </c>
      <c r="DW144" s="59" t="str">
        <f t="shared" si="369"/>
        <v>SEM 25</v>
      </c>
      <c r="DX144" s="59" t="str">
        <f t="shared" si="370"/>
        <v>NA</v>
      </c>
      <c r="DY144" s="59" t="str">
        <f t="shared" si="371"/>
        <v>NA</v>
      </c>
      <c r="DZ144" s="59" t="str">
        <f t="shared" si="372"/>
        <v>NA</v>
      </c>
      <c r="EA144" s="59" t="str">
        <f t="shared" si="373"/>
        <v>NA</v>
      </c>
      <c r="EB144" s="59" t="str">
        <f t="shared" si="374"/>
        <v>NA</v>
      </c>
      <c r="EC144" s="59" t="str">
        <f t="shared" si="375"/>
        <v>NA</v>
      </c>
      <c r="ED144" s="59" t="str">
        <f t="shared" si="376"/>
        <v>MAY</v>
      </c>
      <c r="EE144" s="59" t="str">
        <f t="shared" si="377"/>
        <v>MAY</v>
      </c>
      <c r="EF144" s="59" t="str">
        <f t="shared" si="378"/>
        <v>JUN</v>
      </c>
      <c r="EG144" s="59" t="str">
        <f t="shared" si="379"/>
        <v>JUN</v>
      </c>
      <c r="EH144" s="59" t="str">
        <f t="shared" si="380"/>
        <v/>
      </c>
      <c r="EI144" s="59" t="str">
        <f t="shared" si="381"/>
        <v/>
      </c>
      <c r="EJ144" s="59" t="str">
        <f t="shared" si="382"/>
        <v/>
      </c>
      <c r="EK144" s="59" t="str">
        <f t="shared" si="383"/>
        <v/>
      </c>
      <c r="EL144" s="59" t="str">
        <f t="shared" si="384"/>
        <v/>
      </c>
      <c r="EM144" s="59" t="str">
        <f t="shared" si="385"/>
        <v/>
      </c>
      <c r="EN144" s="59">
        <f t="shared" si="386"/>
        <v>2012</v>
      </c>
      <c r="EO144" s="59">
        <f t="shared" si="387"/>
        <v>2012</v>
      </c>
      <c r="EP144" s="59">
        <f t="shared" si="388"/>
        <v>2012</v>
      </c>
      <c r="EQ144" s="59">
        <f t="shared" si="389"/>
        <v>2012</v>
      </c>
      <c r="ER144" s="59" t="str">
        <f t="shared" si="390"/>
        <v/>
      </c>
      <c r="ES144" s="59" t="str">
        <f t="shared" si="391"/>
        <v/>
      </c>
      <c r="ET144" s="59" t="str">
        <f t="shared" si="392"/>
        <v/>
      </c>
      <c r="EU144" s="59" t="str">
        <f t="shared" si="393"/>
        <v/>
      </c>
      <c r="EV144" s="59" t="str">
        <f t="shared" si="394"/>
        <v/>
      </c>
      <c r="EW144" s="59" t="str">
        <f t="shared" si="395"/>
        <v/>
      </c>
      <c r="EX144" s="56">
        <f t="shared" si="351"/>
        <v>1021000</v>
      </c>
    </row>
    <row r="145" spans="1:154" x14ac:dyDescent="0.25">
      <c r="A145" s="2">
        <f t="shared" si="396"/>
        <v>144</v>
      </c>
      <c r="B145" s="2" t="s">
        <v>6</v>
      </c>
      <c r="C145" s="2" t="str">
        <f t="shared" si="352"/>
        <v>020907</v>
      </c>
      <c r="D145" s="2">
        <v>2</v>
      </c>
      <c r="E145" s="2">
        <v>9</v>
      </c>
      <c r="F145" s="2">
        <v>7</v>
      </c>
      <c r="G145" s="11" t="s">
        <v>17</v>
      </c>
      <c r="H145" s="4"/>
      <c r="I145" s="42" t="s">
        <v>60</v>
      </c>
      <c r="J145" s="9">
        <v>80</v>
      </c>
      <c r="K145" s="9"/>
      <c r="L145" s="10" t="s">
        <v>8</v>
      </c>
      <c r="M145" s="22" t="s">
        <v>176</v>
      </c>
      <c r="N145" s="7">
        <f t="shared" si="397"/>
        <v>1135000</v>
      </c>
      <c r="O145" s="8">
        <v>183</v>
      </c>
      <c r="P145" s="25">
        <v>41136</v>
      </c>
      <c r="Q145" s="8" t="str">
        <f t="shared" si="353"/>
        <v>2DA-AGO</v>
      </c>
      <c r="R145" s="26">
        <v>0.8</v>
      </c>
      <c r="S145" s="41" t="s">
        <v>33</v>
      </c>
      <c r="T145" s="8" t="s">
        <v>352</v>
      </c>
      <c r="U145" s="25">
        <v>41061</v>
      </c>
      <c r="V145" s="7">
        <v>567500</v>
      </c>
      <c r="W145" s="7">
        <f t="shared" si="424"/>
        <v>448325</v>
      </c>
      <c r="X145" s="7">
        <f t="shared" si="355"/>
        <v>0</v>
      </c>
      <c r="Y145" s="7">
        <v>448325</v>
      </c>
      <c r="Z145" s="7">
        <f t="shared" si="356"/>
        <v>0</v>
      </c>
      <c r="AA145" s="148" t="str">
        <f t="shared" si="357"/>
        <v>80%</v>
      </c>
      <c r="AB145" s="148">
        <f t="shared" si="358"/>
        <v>0.19999999999999996</v>
      </c>
      <c r="AC145" s="25">
        <f ca="1">TODAY()-14</f>
        <v>41108</v>
      </c>
      <c r="AD145" s="25">
        <f t="shared" ref="AD145:AE145" ca="1" si="432">TODAY()-14</f>
        <v>41108</v>
      </c>
      <c r="AE145" s="25">
        <f t="shared" ca="1" si="432"/>
        <v>41108</v>
      </c>
      <c r="AF145" s="25">
        <v>41030</v>
      </c>
      <c r="AG145" s="59" t="str">
        <f t="shared" ca="1" si="360"/>
        <v>MAYOR A 2 MESES</v>
      </c>
      <c r="AH145" s="55" t="s">
        <v>126</v>
      </c>
      <c r="AI145" s="55"/>
      <c r="AJ145" s="55"/>
      <c r="AK145" s="55"/>
      <c r="AL145" s="55"/>
      <c r="AM145" s="55"/>
      <c r="AN145" s="8"/>
      <c r="AO145" s="8">
        <v>6546546</v>
      </c>
      <c r="AP145" s="8">
        <v>651361361</v>
      </c>
      <c r="AQ145" s="8">
        <v>321</v>
      </c>
      <c r="AR145" s="59" t="str">
        <f t="shared" si="409"/>
        <v>SEM 18</v>
      </c>
      <c r="AS145" s="59" t="str">
        <f t="shared" si="410"/>
        <v>MAY</v>
      </c>
      <c r="AT145" s="59">
        <v>15000</v>
      </c>
      <c r="AU145" s="59" t="str">
        <f t="shared" si="337"/>
        <v>ENTRE 12 Y 18 MIL</v>
      </c>
      <c r="AV145" s="66" t="s">
        <v>73</v>
      </c>
      <c r="AW145" s="66" t="s">
        <v>38</v>
      </c>
      <c r="AX145" s="66" t="s">
        <v>81</v>
      </c>
      <c r="AY145" s="66" t="s">
        <v>173</v>
      </c>
      <c r="AZ145" s="25">
        <v>41034</v>
      </c>
      <c r="BA145" s="8" t="s">
        <v>65</v>
      </c>
      <c r="BB145" s="25">
        <v>41039</v>
      </c>
      <c r="BC145" s="25">
        <v>41141</v>
      </c>
      <c r="BD145" s="25">
        <v>41039</v>
      </c>
      <c r="BE145" s="25"/>
      <c r="BF145" s="8"/>
      <c r="BG145" s="8"/>
      <c r="BH145" s="8"/>
      <c r="BI145" s="8">
        <v>130</v>
      </c>
      <c r="BJ145" s="8"/>
      <c r="BK145" s="59" t="s">
        <v>371</v>
      </c>
      <c r="BL145" s="59" t="s">
        <v>371</v>
      </c>
      <c r="BM145" s="59" t="s">
        <v>378</v>
      </c>
      <c r="BN145" s="164">
        <v>0.01</v>
      </c>
      <c r="BO145" s="165">
        <f t="shared" si="361"/>
        <v>3783.3333333333335</v>
      </c>
      <c r="BP145" s="165">
        <f t="shared" ref="BP145:BQ145" si="433">BO145</f>
        <v>3783.3333333333335</v>
      </c>
      <c r="BQ145" s="165">
        <f t="shared" si="433"/>
        <v>3783.3333333333335</v>
      </c>
      <c r="BR145" s="162">
        <v>41044</v>
      </c>
      <c r="BS145" s="162">
        <v>41044</v>
      </c>
      <c r="BT145" s="59"/>
      <c r="BU145" s="59"/>
      <c r="BV145" s="59" t="str">
        <f t="shared" si="402"/>
        <v>2DA-MAY-2012</v>
      </c>
      <c r="BW145" s="59" t="str">
        <f t="shared" si="403"/>
        <v>2DA-MAY-2012</v>
      </c>
      <c r="BX145" s="59" t="str">
        <f t="shared" si="404"/>
        <v>ND</v>
      </c>
      <c r="BY145" s="59" t="str">
        <f t="shared" si="405"/>
        <v>ND</v>
      </c>
      <c r="BZ145" s="59" t="str">
        <f t="shared" si="339"/>
        <v>SEM 18</v>
      </c>
      <c r="CA145" s="59" t="str">
        <f t="shared" si="340"/>
        <v>MAY</v>
      </c>
      <c r="CB145" s="59" t="str">
        <f t="shared" si="341"/>
        <v>NA</v>
      </c>
      <c r="CC145" s="59" t="str">
        <f t="shared" si="342"/>
        <v/>
      </c>
      <c r="CD145" s="59" t="str">
        <f t="shared" si="343"/>
        <v>NA</v>
      </c>
      <c r="CE145" s="59" t="str">
        <f t="shared" si="344"/>
        <v/>
      </c>
      <c r="CF145" s="59" t="str">
        <f t="shared" si="345"/>
        <v>2DA-AGO</v>
      </c>
      <c r="CG145" s="59" t="str">
        <f t="shared" ca="1" si="346"/>
        <v>MAYOR A 2 MESES</v>
      </c>
      <c r="CH145" s="59" t="str">
        <f t="shared" ca="1" si="347"/>
        <v>NA</v>
      </c>
      <c r="CI145" s="59" t="str">
        <f t="shared" ca="1" si="348"/>
        <v>DE 11 A 15 DIAS</v>
      </c>
      <c r="CJ145" s="59" t="str">
        <f t="shared" ca="1" si="349"/>
        <v>DE 11 A 15 DIAS</v>
      </c>
      <c r="CK145" s="59" t="str">
        <f t="shared" ca="1" si="350"/>
        <v>DE 11 A 15 DIAS</v>
      </c>
      <c r="CL145" s="8">
        <v>30000</v>
      </c>
      <c r="CM145" s="8">
        <v>110000</v>
      </c>
      <c r="CN145" s="8">
        <v>10000</v>
      </c>
      <c r="CO145" s="8"/>
      <c r="CP145" s="8"/>
      <c r="CQ145" s="8"/>
      <c r="CR145" s="8"/>
      <c r="CS145" s="8"/>
      <c r="CT145" s="8"/>
      <c r="CU145" s="8"/>
      <c r="CV145" s="8"/>
      <c r="CW145" s="8" t="s">
        <v>250</v>
      </c>
      <c r="CX145" s="8" t="s">
        <v>251</v>
      </c>
      <c r="CY145" s="8"/>
      <c r="CZ145" s="8"/>
      <c r="DA145" s="8"/>
      <c r="DB145" s="8"/>
      <c r="DC145" s="8"/>
      <c r="DD145" s="8"/>
      <c r="DE145" s="8"/>
      <c r="DF145" s="8"/>
      <c r="DG145" s="8">
        <f t="shared" si="363"/>
        <v>0</v>
      </c>
      <c r="DH145" s="8">
        <f t="shared" si="364"/>
        <v>110000</v>
      </c>
      <c r="DI145" s="8">
        <f t="shared" si="365"/>
        <v>10000</v>
      </c>
      <c r="DJ145" s="25">
        <f>+AZ145+15</f>
        <v>41049</v>
      </c>
      <c r="DK145" s="25">
        <f>+DJ145+15</f>
        <v>41064</v>
      </c>
      <c r="DL145" s="8"/>
      <c r="DM145" s="8"/>
      <c r="DN145" s="8"/>
      <c r="DO145" s="8"/>
      <c r="DP145" s="8"/>
      <c r="DQ145" s="8"/>
      <c r="DR145" s="8"/>
      <c r="DS145" s="8"/>
      <c r="DT145" s="59" t="str">
        <f t="shared" si="366"/>
        <v>SEM 21</v>
      </c>
      <c r="DU145" s="59" t="str">
        <f t="shared" si="367"/>
        <v>SEM 23</v>
      </c>
      <c r="DV145" s="59" t="str">
        <f t="shared" si="368"/>
        <v>NA</v>
      </c>
      <c r="DW145" s="59" t="str">
        <f t="shared" si="369"/>
        <v>NA</v>
      </c>
      <c r="DX145" s="59" t="str">
        <f t="shared" si="370"/>
        <v>NA</v>
      </c>
      <c r="DY145" s="59" t="str">
        <f t="shared" si="371"/>
        <v>NA</v>
      </c>
      <c r="DZ145" s="59" t="str">
        <f t="shared" si="372"/>
        <v>NA</v>
      </c>
      <c r="EA145" s="59" t="str">
        <f t="shared" si="373"/>
        <v>NA</v>
      </c>
      <c r="EB145" s="59" t="str">
        <f t="shared" si="374"/>
        <v>NA</v>
      </c>
      <c r="EC145" s="59" t="str">
        <f t="shared" si="375"/>
        <v>NA</v>
      </c>
      <c r="ED145" s="59" t="str">
        <f t="shared" si="376"/>
        <v>MAY</v>
      </c>
      <c r="EE145" s="59" t="str">
        <f t="shared" si="377"/>
        <v>JUN</v>
      </c>
      <c r="EF145" s="59" t="str">
        <f t="shared" si="378"/>
        <v/>
      </c>
      <c r="EG145" s="59" t="str">
        <f t="shared" si="379"/>
        <v/>
      </c>
      <c r="EH145" s="59" t="str">
        <f t="shared" si="380"/>
        <v/>
      </c>
      <c r="EI145" s="59" t="str">
        <f t="shared" si="381"/>
        <v/>
      </c>
      <c r="EJ145" s="59" t="str">
        <f t="shared" si="382"/>
        <v/>
      </c>
      <c r="EK145" s="59" t="str">
        <f t="shared" si="383"/>
        <v/>
      </c>
      <c r="EL145" s="59" t="str">
        <f t="shared" si="384"/>
        <v/>
      </c>
      <c r="EM145" s="59" t="str">
        <f t="shared" si="385"/>
        <v/>
      </c>
      <c r="EN145" s="59">
        <f t="shared" si="386"/>
        <v>2012</v>
      </c>
      <c r="EO145" s="59">
        <f t="shared" si="387"/>
        <v>2012</v>
      </c>
      <c r="EP145" s="59" t="str">
        <f t="shared" si="388"/>
        <v/>
      </c>
      <c r="EQ145" s="59" t="str">
        <f t="shared" si="389"/>
        <v/>
      </c>
      <c r="ER145" s="59" t="str">
        <f t="shared" si="390"/>
        <v/>
      </c>
      <c r="ES145" s="59" t="str">
        <f t="shared" si="391"/>
        <v/>
      </c>
      <c r="ET145" s="59" t="str">
        <f t="shared" si="392"/>
        <v/>
      </c>
      <c r="EU145" s="59" t="str">
        <f t="shared" si="393"/>
        <v/>
      </c>
      <c r="EV145" s="59" t="str">
        <f t="shared" si="394"/>
        <v/>
      </c>
      <c r="EW145" s="59" t="str">
        <f t="shared" si="395"/>
        <v/>
      </c>
      <c r="EX145" s="56">
        <f t="shared" si="351"/>
        <v>985000</v>
      </c>
    </row>
    <row r="146" spans="1:154" x14ac:dyDescent="0.25">
      <c r="A146" s="2">
        <f t="shared" si="396"/>
        <v>145</v>
      </c>
      <c r="B146" s="2" t="s">
        <v>6</v>
      </c>
      <c r="C146" s="2" t="str">
        <f t="shared" si="352"/>
        <v>020908</v>
      </c>
      <c r="D146" s="2">
        <v>2</v>
      </c>
      <c r="E146" s="2">
        <v>9</v>
      </c>
      <c r="F146" s="2">
        <v>8</v>
      </c>
      <c r="G146" s="11" t="s">
        <v>17</v>
      </c>
      <c r="H146" s="4"/>
      <c r="I146" s="42" t="s">
        <v>60</v>
      </c>
      <c r="J146" s="9">
        <v>80</v>
      </c>
      <c r="K146" s="5"/>
      <c r="L146" s="6" t="s">
        <v>306</v>
      </c>
      <c r="M146" s="22" t="s">
        <v>176</v>
      </c>
      <c r="N146" s="7">
        <f t="shared" si="397"/>
        <v>1126000</v>
      </c>
      <c r="O146" s="8">
        <v>184</v>
      </c>
      <c r="P146" s="25">
        <v>41136</v>
      </c>
      <c r="Q146" s="8" t="str">
        <f t="shared" si="353"/>
        <v>2DA-AGO</v>
      </c>
      <c r="R146" s="26">
        <v>0.9</v>
      </c>
      <c r="S146" s="41" t="s">
        <v>33</v>
      </c>
      <c r="T146" s="8" t="s">
        <v>352</v>
      </c>
      <c r="U146" s="25">
        <v>41061</v>
      </c>
      <c r="V146" s="7">
        <v>563000</v>
      </c>
      <c r="W146" s="7">
        <f t="shared" si="424"/>
        <v>444770</v>
      </c>
      <c r="X146" s="7">
        <f t="shared" si="355"/>
        <v>0</v>
      </c>
      <c r="Y146" s="7">
        <v>444770</v>
      </c>
      <c r="Z146" s="7">
        <f t="shared" si="356"/>
        <v>0</v>
      </c>
      <c r="AA146" s="148" t="str">
        <f t="shared" si="357"/>
        <v>80%</v>
      </c>
      <c r="AB146" s="148">
        <f t="shared" si="358"/>
        <v>0.19999999999999996</v>
      </c>
      <c r="AC146" s="25">
        <f ca="1">TODAY()-19</f>
        <v>41103</v>
      </c>
      <c r="AD146" s="25">
        <f t="shared" ref="AD146:AE146" ca="1" si="434">TODAY()-19</f>
        <v>41103</v>
      </c>
      <c r="AE146" s="25">
        <f t="shared" ca="1" si="434"/>
        <v>41103</v>
      </c>
      <c r="AF146" s="25">
        <v>41030</v>
      </c>
      <c r="AG146" s="59" t="str">
        <f t="shared" ca="1" si="360"/>
        <v>MAYOR A 2 MESES</v>
      </c>
      <c r="AH146" s="55" t="s">
        <v>127</v>
      </c>
      <c r="AI146" s="55"/>
      <c r="AJ146" s="55"/>
      <c r="AK146" s="55"/>
      <c r="AL146" s="55"/>
      <c r="AM146" s="55"/>
      <c r="AN146" s="8"/>
      <c r="AO146" s="8">
        <v>3654684</v>
      </c>
      <c r="AP146" s="8">
        <v>651</v>
      </c>
      <c r="AQ146" s="8">
        <v>321</v>
      </c>
      <c r="AR146" s="59" t="str">
        <f t="shared" si="409"/>
        <v>SEM 18</v>
      </c>
      <c r="AS146" s="59" t="str">
        <f t="shared" si="410"/>
        <v>MAY</v>
      </c>
      <c r="AT146" s="59">
        <v>21000</v>
      </c>
      <c r="AU146" s="59" t="str">
        <f t="shared" si="337"/>
        <v>ENTRE 18 Y 25 MIL</v>
      </c>
      <c r="AV146" s="66" t="s">
        <v>70</v>
      </c>
      <c r="AW146" s="66" t="s">
        <v>38</v>
      </c>
      <c r="AX146" s="66" t="s">
        <v>80</v>
      </c>
      <c r="AY146" s="66" t="s">
        <v>173</v>
      </c>
      <c r="AZ146" s="25">
        <v>41032</v>
      </c>
      <c r="BA146" s="8" t="s">
        <v>36</v>
      </c>
      <c r="BB146" s="25">
        <v>41039</v>
      </c>
      <c r="BC146" s="25">
        <v>41141</v>
      </c>
      <c r="BD146" s="25">
        <v>41044</v>
      </c>
      <c r="BE146" s="25"/>
      <c r="BF146" s="8"/>
      <c r="BG146" s="8"/>
      <c r="BH146" s="8"/>
      <c r="BI146" s="8">
        <v>130</v>
      </c>
      <c r="BJ146" s="8"/>
      <c r="BK146" s="59" t="s">
        <v>371</v>
      </c>
      <c r="BL146" s="59" t="s">
        <v>378</v>
      </c>
      <c r="BM146" s="59" t="s">
        <v>378</v>
      </c>
      <c r="BN146" s="164">
        <v>0.01</v>
      </c>
      <c r="BO146" s="165">
        <f t="shared" si="361"/>
        <v>3753.3333333333335</v>
      </c>
      <c r="BP146" s="165">
        <f t="shared" ref="BP146:BQ146" si="435">BO146</f>
        <v>3753.3333333333335</v>
      </c>
      <c r="BQ146" s="165">
        <f t="shared" si="435"/>
        <v>3753.3333333333335</v>
      </c>
      <c r="BR146" s="162">
        <v>41044</v>
      </c>
      <c r="BS146" s="59"/>
      <c r="BT146" s="59"/>
      <c r="BU146" s="59"/>
      <c r="BV146" s="59" t="str">
        <f t="shared" si="402"/>
        <v>2DA-MAY-2012</v>
      </c>
      <c r="BW146" s="59" t="str">
        <f t="shared" si="403"/>
        <v>ND</v>
      </c>
      <c r="BX146" s="59" t="str">
        <f t="shared" si="404"/>
        <v>ND</v>
      </c>
      <c r="BY146" s="59" t="str">
        <f t="shared" si="405"/>
        <v>ND</v>
      </c>
      <c r="BZ146" s="59" t="str">
        <f t="shared" si="339"/>
        <v>SEM 18</v>
      </c>
      <c r="CA146" s="59" t="str">
        <f t="shared" si="340"/>
        <v>MAY</v>
      </c>
      <c r="CB146" s="59" t="str">
        <f t="shared" si="341"/>
        <v>NA</v>
      </c>
      <c r="CC146" s="59" t="str">
        <f t="shared" si="342"/>
        <v/>
      </c>
      <c r="CD146" s="59" t="str">
        <f t="shared" si="343"/>
        <v>NA</v>
      </c>
      <c r="CE146" s="59" t="str">
        <f t="shared" si="344"/>
        <v/>
      </c>
      <c r="CF146" s="59" t="str">
        <f t="shared" si="345"/>
        <v>2DA-AGO</v>
      </c>
      <c r="CG146" s="59" t="str">
        <f t="shared" ca="1" si="346"/>
        <v>MAYOR A 2 MESES</v>
      </c>
      <c r="CH146" s="59" t="str">
        <f t="shared" ca="1" si="347"/>
        <v>NA</v>
      </c>
      <c r="CI146" s="59" t="str">
        <f t="shared" ca="1" si="348"/>
        <v>DE 16 A 20 DIAS</v>
      </c>
      <c r="CJ146" s="59" t="str">
        <f t="shared" ca="1" si="349"/>
        <v>DE 16 A 20 DIAS</v>
      </c>
      <c r="CK146" s="59" t="str">
        <f t="shared" ca="1" si="350"/>
        <v>DE 16 A 20 DIAS</v>
      </c>
      <c r="CL146" s="8">
        <v>5000</v>
      </c>
      <c r="CM146" s="8">
        <v>10000</v>
      </c>
      <c r="CN146" s="8">
        <v>50000</v>
      </c>
      <c r="CO146" s="8">
        <v>100000</v>
      </c>
      <c r="CP146" s="8">
        <v>5000</v>
      </c>
      <c r="CQ146" s="8">
        <v>50000</v>
      </c>
      <c r="CR146" s="8">
        <v>10000</v>
      </c>
      <c r="CS146" s="8"/>
      <c r="CT146" s="8"/>
      <c r="CU146" s="8"/>
      <c r="CV146" s="8"/>
      <c r="CW146" s="8" t="s">
        <v>250</v>
      </c>
      <c r="CX146" s="8" t="s">
        <v>250</v>
      </c>
      <c r="CY146" s="8" t="s">
        <v>250</v>
      </c>
      <c r="CZ146" s="8" t="s">
        <v>250</v>
      </c>
      <c r="DA146" s="8" t="s">
        <v>249</v>
      </c>
      <c r="DB146" s="8" t="s">
        <v>249</v>
      </c>
      <c r="DC146" s="8"/>
      <c r="DD146" s="8"/>
      <c r="DE146" s="8"/>
      <c r="DF146" s="8"/>
      <c r="DG146" s="8">
        <f t="shared" si="363"/>
        <v>60000</v>
      </c>
      <c r="DH146" s="8">
        <f t="shared" si="364"/>
        <v>165000</v>
      </c>
      <c r="DI146" s="8">
        <f t="shared" si="365"/>
        <v>0</v>
      </c>
      <c r="DJ146" s="25">
        <f>+AZ146+15</f>
        <v>41047</v>
      </c>
      <c r="DK146" s="25">
        <f>+DJ146+15</f>
        <v>41062</v>
      </c>
      <c r="DL146" s="25">
        <f>+DK146+15</f>
        <v>41077</v>
      </c>
      <c r="DM146" s="25">
        <f>+DL146+15</f>
        <v>41092</v>
      </c>
      <c r="DN146" s="25">
        <f>+DM146+20</f>
        <v>41112</v>
      </c>
      <c r="DO146" s="25">
        <v>41120</v>
      </c>
      <c r="DP146" s="8"/>
      <c r="DQ146" s="8"/>
      <c r="DR146" s="8"/>
      <c r="DS146" s="8"/>
      <c r="DT146" s="59" t="str">
        <f t="shared" si="366"/>
        <v>SEM 20</v>
      </c>
      <c r="DU146" s="59" t="str">
        <f t="shared" si="367"/>
        <v>SEM 22</v>
      </c>
      <c r="DV146" s="59" t="str">
        <f t="shared" si="368"/>
        <v>SEM 25</v>
      </c>
      <c r="DW146" s="59" t="str">
        <f t="shared" si="369"/>
        <v>SEM 27</v>
      </c>
      <c r="DX146" s="59" t="str">
        <f t="shared" si="370"/>
        <v>SEM 30</v>
      </c>
      <c r="DY146" s="59" t="str">
        <f t="shared" si="371"/>
        <v>SEM 31</v>
      </c>
      <c r="DZ146" s="59" t="str">
        <f t="shared" si="372"/>
        <v>NA</v>
      </c>
      <c r="EA146" s="59" t="str">
        <f t="shared" si="373"/>
        <v>NA</v>
      </c>
      <c r="EB146" s="59" t="str">
        <f t="shared" si="374"/>
        <v>NA</v>
      </c>
      <c r="EC146" s="59" t="str">
        <f t="shared" si="375"/>
        <v>NA</v>
      </c>
      <c r="ED146" s="59" t="str">
        <f t="shared" si="376"/>
        <v>MAY</v>
      </c>
      <c r="EE146" s="59" t="str">
        <f t="shared" si="377"/>
        <v>JUN</v>
      </c>
      <c r="EF146" s="59" t="str">
        <f t="shared" si="378"/>
        <v>JUN</v>
      </c>
      <c r="EG146" s="59" t="str">
        <f t="shared" si="379"/>
        <v>JUL</v>
      </c>
      <c r="EH146" s="59" t="str">
        <f t="shared" si="380"/>
        <v>JUL</v>
      </c>
      <c r="EI146" s="59" t="str">
        <f t="shared" si="381"/>
        <v>JUL</v>
      </c>
      <c r="EJ146" s="59" t="str">
        <f t="shared" si="382"/>
        <v/>
      </c>
      <c r="EK146" s="59" t="str">
        <f t="shared" si="383"/>
        <v/>
      </c>
      <c r="EL146" s="59" t="str">
        <f t="shared" si="384"/>
        <v/>
      </c>
      <c r="EM146" s="59" t="str">
        <f t="shared" si="385"/>
        <v/>
      </c>
      <c r="EN146" s="59">
        <f t="shared" si="386"/>
        <v>2012</v>
      </c>
      <c r="EO146" s="59">
        <f t="shared" si="387"/>
        <v>2012</v>
      </c>
      <c r="EP146" s="59">
        <f t="shared" si="388"/>
        <v>2012</v>
      </c>
      <c r="EQ146" s="59">
        <f t="shared" si="389"/>
        <v>2012</v>
      </c>
      <c r="ER146" s="59">
        <f t="shared" si="390"/>
        <v>2012</v>
      </c>
      <c r="ES146" s="59">
        <f t="shared" si="391"/>
        <v>2012</v>
      </c>
      <c r="ET146" s="59" t="str">
        <f t="shared" si="392"/>
        <v/>
      </c>
      <c r="EU146" s="59" t="str">
        <f t="shared" si="393"/>
        <v/>
      </c>
      <c r="EV146" s="59" t="str">
        <f t="shared" si="394"/>
        <v/>
      </c>
      <c r="EW146" s="59" t="str">
        <f t="shared" si="395"/>
        <v/>
      </c>
      <c r="EX146" s="56">
        <f t="shared" si="351"/>
        <v>896000</v>
      </c>
    </row>
    <row r="147" spans="1:154" x14ac:dyDescent="0.25">
      <c r="A147" s="2">
        <f t="shared" si="396"/>
        <v>146</v>
      </c>
      <c r="B147" s="2" t="s">
        <v>6</v>
      </c>
      <c r="C147" s="2" t="str">
        <f t="shared" si="352"/>
        <v>020909</v>
      </c>
      <c r="D147" s="2">
        <v>2</v>
      </c>
      <c r="E147" s="2">
        <v>9</v>
      </c>
      <c r="F147" s="2">
        <v>9</v>
      </c>
      <c r="G147" s="11" t="s">
        <v>17</v>
      </c>
      <c r="H147" s="4"/>
      <c r="I147" s="42" t="s">
        <v>58</v>
      </c>
      <c r="J147" s="9">
        <v>80</v>
      </c>
      <c r="K147" s="9"/>
      <c r="L147" s="10" t="s">
        <v>8</v>
      </c>
      <c r="M147" s="23" t="s">
        <v>177</v>
      </c>
      <c r="N147" s="7">
        <f t="shared" si="397"/>
        <v>1135000</v>
      </c>
      <c r="O147" s="8">
        <v>185</v>
      </c>
      <c r="P147" s="25">
        <v>41212</v>
      </c>
      <c r="Q147" s="8" t="str">
        <f t="shared" si="353"/>
        <v>2DA-OCT</v>
      </c>
      <c r="R147" s="26">
        <v>0.1</v>
      </c>
      <c r="S147" s="41" t="s">
        <v>34</v>
      </c>
      <c r="T147" s="8" t="s">
        <v>353</v>
      </c>
      <c r="U147" s="8"/>
      <c r="V147" s="7">
        <v>567500</v>
      </c>
      <c r="W147" s="7">
        <f t="shared" si="424"/>
        <v>448325</v>
      </c>
      <c r="X147" s="7">
        <f t="shared" si="355"/>
        <v>119175</v>
      </c>
      <c r="Y147" s="7">
        <v>0</v>
      </c>
      <c r="Z147" s="7">
        <f t="shared" si="356"/>
        <v>448325</v>
      </c>
      <c r="AA147" s="148" t="str">
        <f t="shared" si="357"/>
        <v>80%</v>
      </c>
      <c r="AB147" s="148">
        <f t="shared" si="358"/>
        <v>0.19999999999999996</v>
      </c>
      <c r="AC147" s="25">
        <f ca="1">TODAY()-25</f>
        <v>41097</v>
      </c>
      <c r="AD147" s="25">
        <f t="shared" ref="AD147:AE147" ca="1" si="436">TODAY()-25</f>
        <v>41097</v>
      </c>
      <c r="AE147" s="25">
        <f t="shared" ca="1" si="436"/>
        <v>41097</v>
      </c>
      <c r="AF147" s="8"/>
      <c r="AG147" s="59" t="str">
        <f t="shared" ca="1" si="360"/>
        <v>NA</v>
      </c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59" t="str">
        <f t="shared" si="409"/>
        <v>NA</v>
      </c>
      <c r="AS147" s="59" t="str">
        <f t="shared" si="410"/>
        <v/>
      </c>
      <c r="AT147" s="59"/>
      <c r="AU147" s="59" t="str">
        <f t="shared" si="337"/>
        <v>ND</v>
      </c>
      <c r="AV147" s="66"/>
      <c r="AW147" s="66"/>
      <c r="AX147" s="66"/>
      <c r="AY147" s="66"/>
      <c r="AZ147" s="8"/>
      <c r="BA147" s="8" t="s">
        <v>37</v>
      </c>
      <c r="BB147" s="8"/>
      <c r="BC147" s="8"/>
      <c r="BD147" s="8"/>
      <c r="BE147" s="8"/>
      <c r="BF147" s="8"/>
      <c r="BG147" s="8"/>
      <c r="BH147" s="8"/>
      <c r="BI147" s="8"/>
      <c r="BJ147" s="8"/>
      <c r="BK147" s="59"/>
      <c r="BL147" s="59"/>
      <c r="BM147" s="59"/>
      <c r="BN147" s="164">
        <v>0.01</v>
      </c>
      <c r="BO147" s="165">
        <f t="shared" si="361"/>
        <v>3783.3333333333335</v>
      </c>
      <c r="BP147" s="165">
        <f t="shared" ref="BP147:BQ147" si="437">BO147</f>
        <v>3783.3333333333335</v>
      </c>
      <c r="BQ147" s="165">
        <f t="shared" si="437"/>
        <v>3783.3333333333335</v>
      </c>
      <c r="BR147" s="59"/>
      <c r="BS147" s="59"/>
      <c r="BT147" s="59"/>
      <c r="BU147" s="59"/>
      <c r="BV147" s="59" t="str">
        <f t="shared" si="402"/>
        <v>ND</v>
      </c>
      <c r="BW147" s="59" t="str">
        <f t="shared" si="403"/>
        <v>ND</v>
      </c>
      <c r="BX147" s="59" t="str">
        <f t="shared" si="404"/>
        <v>ND</v>
      </c>
      <c r="BY147" s="59" t="str">
        <f t="shared" si="405"/>
        <v>ND</v>
      </c>
      <c r="BZ147" s="59" t="str">
        <f t="shared" si="339"/>
        <v>NA</v>
      </c>
      <c r="CA147" s="59" t="str">
        <f t="shared" si="340"/>
        <v/>
      </c>
      <c r="CB147" s="59" t="str">
        <f t="shared" si="341"/>
        <v>NA</v>
      </c>
      <c r="CC147" s="59" t="str">
        <f t="shared" si="342"/>
        <v/>
      </c>
      <c r="CD147" s="59" t="str">
        <f t="shared" si="343"/>
        <v>NA</v>
      </c>
      <c r="CE147" s="59" t="str">
        <f t="shared" si="344"/>
        <v/>
      </c>
      <c r="CF147" s="59" t="str">
        <f t="shared" si="345"/>
        <v>NA</v>
      </c>
      <c r="CG147" s="59" t="str">
        <f t="shared" ca="1" si="346"/>
        <v>NA</v>
      </c>
      <c r="CH147" s="59" t="str">
        <f t="shared" ca="1" si="347"/>
        <v>NA</v>
      </c>
      <c r="CI147" s="59" t="str">
        <f t="shared" ca="1" si="348"/>
        <v>DE 21 A 25 DIAS</v>
      </c>
      <c r="CJ147" s="59" t="str">
        <f t="shared" ca="1" si="349"/>
        <v>DE 21 A 25 DIAS</v>
      </c>
      <c r="CK147" s="59" t="str">
        <f t="shared" ca="1" si="350"/>
        <v>DE 21 A 25 DIAS</v>
      </c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>
        <f t="shared" si="363"/>
        <v>0</v>
      </c>
      <c r="DH147" s="8">
        <f t="shared" si="364"/>
        <v>0</v>
      </c>
      <c r="DI147" s="8">
        <f t="shared" si="365"/>
        <v>0</v>
      </c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59" t="str">
        <f t="shared" si="366"/>
        <v>NA</v>
      </c>
      <c r="DU147" s="59" t="str">
        <f t="shared" si="367"/>
        <v>NA</v>
      </c>
      <c r="DV147" s="59" t="str">
        <f t="shared" si="368"/>
        <v>NA</v>
      </c>
      <c r="DW147" s="59" t="str">
        <f t="shared" si="369"/>
        <v>NA</v>
      </c>
      <c r="DX147" s="59" t="str">
        <f t="shared" si="370"/>
        <v>NA</v>
      </c>
      <c r="DY147" s="59" t="str">
        <f t="shared" si="371"/>
        <v>NA</v>
      </c>
      <c r="DZ147" s="59" t="str">
        <f t="shared" si="372"/>
        <v>NA</v>
      </c>
      <c r="EA147" s="59" t="str">
        <f t="shared" si="373"/>
        <v>NA</v>
      </c>
      <c r="EB147" s="59" t="str">
        <f t="shared" si="374"/>
        <v>NA</v>
      </c>
      <c r="EC147" s="59" t="str">
        <f t="shared" si="375"/>
        <v>NA</v>
      </c>
      <c r="ED147" s="59" t="str">
        <f t="shared" si="376"/>
        <v/>
      </c>
      <c r="EE147" s="59" t="str">
        <f t="shared" si="377"/>
        <v/>
      </c>
      <c r="EF147" s="59" t="str">
        <f t="shared" si="378"/>
        <v/>
      </c>
      <c r="EG147" s="59" t="str">
        <f t="shared" si="379"/>
        <v/>
      </c>
      <c r="EH147" s="59" t="str">
        <f t="shared" si="380"/>
        <v/>
      </c>
      <c r="EI147" s="59" t="str">
        <f t="shared" si="381"/>
        <v/>
      </c>
      <c r="EJ147" s="59" t="str">
        <f t="shared" si="382"/>
        <v/>
      </c>
      <c r="EK147" s="59" t="str">
        <f t="shared" si="383"/>
        <v/>
      </c>
      <c r="EL147" s="59" t="str">
        <f t="shared" si="384"/>
        <v/>
      </c>
      <c r="EM147" s="59" t="str">
        <f t="shared" si="385"/>
        <v/>
      </c>
      <c r="EN147" s="59" t="str">
        <f t="shared" si="386"/>
        <v/>
      </c>
      <c r="EO147" s="59" t="str">
        <f t="shared" si="387"/>
        <v/>
      </c>
      <c r="EP147" s="59" t="str">
        <f t="shared" si="388"/>
        <v/>
      </c>
      <c r="EQ147" s="59" t="str">
        <f t="shared" si="389"/>
        <v/>
      </c>
      <c r="ER147" s="59" t="str">
        <f t="shared" si="390"/>
        <v/>
      </c>
      <c r="ES147" s="59" t="str">
        <f t="shared" si="391"/>
        <v/>
      </c>
      <c r="ET147" s="59" t="str">
        <f t="shared" si="392"/>
        <v/>
      </c>
      <c r="EU147" s="59" t="str">
        <f t="shared" si="393"/>
        <v/>
      </c>
      <c r="EV147" s="59" t="str">
        <f t="shared" si="394"/>
        <v/>
      </c>
      <c r="EW147" s="59" t="str">
        <f t="shared" si="395"/>
        <v/>
      </c>
      <c r="EX147" s="56">
        <f t="shared" si="351"/>
        <v>1135000</v>
      </c>
    </row>
    <row r="148" spans="1:154" x14ac:dyDescent="0.25">
      <c r="A148" s="2">
        <f t="shared" si="396"/>
        <v>147</v>
      </c>
      <c r="B148" s="2" t="s">
        <v>6</v>
      </c>
      <c r="C148" s="2" t="str">
        <f t="shared" si="352"/>
        <v>020910</v>
      </c>
      <c r="D148" s="2">
        <v>2</v>
      </c>
      <c r="E148" s="2">
        <v>9</v>
      </c>
      <c r="F148" s="2">
        <v>10</v>
      </c>
      <c r="G148" s="11" t="s">
        <v>17</v>
      </c>
      <c r="H148" s="4"/>
      <c r="I148" s="42" t="s">
        <v>58</v>
      </c>
      <c r="J148" s="9">
        <v>80</v>
      </c>
      <c r="K148" s="5"/>
      <c r="L148" s="6" t="s">
        <v>306</v>
      </c>
      <c r="M148" s="23" t="s">
        <v>177</v>
      </c>
      <c r="N148" s="7">
        <f t="shared" si="397"/>
        <v>1126000</v>
      </c>
      <c r="O148" s="8">
        <v>186</v>
      </c>
      <c r="P148" s="25">
        <v>41212</v>
      </c>
      <c r="Q148" s="8" t="str">
        <f t="shared" si="353"/>
        <v>2DA-OCT</v>
      </c>
      <c r="R148" s="26">
        <v>0.1</v>
      </c>
      <c r="S148" s="41" t="s">
        <v>34</v>
      </c>
      <c r="T148" s="8" t="s">
        <v>353</v>
      </c>
      <c r="U148" s="8"/>
      <c r="V148" s="7">
        <v>563000</v>
      </c>
      <c r="W148" s="7">
        <f t="shared" si="424"/>
        <v>444770</v>
      </c>
      <c r="X148" s="7">
        <f t="shared" si="355"/>
        <v>118230</v>
      </c>
      <c r="Y148" s="7">
        <v>0</v>
      </c>
      <c r="Z148" s="7">
        <f t="shared" si="356"/>
        <v>444770</v>
      </c>
      <c r="AA148" s="148" t="str">
        <f t="shared" si="357"/>
        <v>80%</v>
      </c>
      <c r="AB148" s="148">
        <f t="shared" si="358"/>
        <v>0.19999999999999996</v>
      </c>
      <c r="AC148" s="25">
        <f ca="1">TODAY()-29</f>
        <v>41093</v>
      </c>
      <c r="AD148" s="25">
        <f t="shared" ref="AD148:AE148" ca="1" si="438">TODAY()-29</f>
        <v>41093</v>
      </c>
      <c r="AE148" s="25">
        <f t="shared" ca="1" si="438"/>
        <v>41093</v>
      </c>
      <c r="AF148" s="8"/>
      <c r="AG148" s="59" t="str">
        <f t="shared" ca="1" si="360"/>
        <v>NA</v>
      </c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59" t="str">
        <f t="shared" si="409"/>
        <v>NA</v>
      </c>
      <c r="AS148" s="59" t="str">
        <f t="shared" si="410"/>
        <v/>
      </c>
      <c r="AT148" s="59"/>
      <c r="AU148" s="59" t="str">
        <f t="shared" si="337"/>
        <v>ND</v>
      </c>
      <c r="AV148" s="66"/>
      <c r="AW148" s="66"/>
      <c r="AX148" s="66"/>
      <c r="AY148" s="66"/>
      <c r="AZ148" s="8"/>
      <c r="BA148" s="8" t="s">
        <v>37</v>
      </c>
      <c r="BB148" s="8"/>
      <c r="BC148" s="8"/>
      <c r="BD148" s="8"/>
      <c r="BE148" s="8"/>
      <c r="BF148" s="8"/>
      <c r="BG148" s="8"/>
      <c r="BH148" s="8"/>
      <c r="BI148" s="8"/>
      <c r="BJ148" s="8"/>
      <c r="BK148" s="59"/>
      <c r="BL148" s="59"/>
      <c r="BM148" s="59"/>
      <c r="BN148" s="164">
        <v>0.01</v>
      </c>
      <c r="BO148" s="165">
        <f t="shared" si="361"/>
        <v>3753.3333333333335</v>
      </c>
      <c r="BP148" s="165">
        <f t="shared" ref="BP148:BQ148" si="439">BO148</f>
        <v>3753.3333333333335</v>
      </c>
      <c r="BQ148" s="165">
        <f t="shared" si="439"/>
        <v>3753.3333333333335</v>
      </c>
      <c r="BR148" s="59"/>
      <c r="BS148" s="59"/>
      <c r="BT148" s="59"/>
      <c r="BU148" s="59"/>
      <c r="BV148" s="59" t="str">
        <f t="shared" si="402"/>
        <v>ND</v>
      </c>
      <c r="BW148" s="59" t="str">
        <f t="shared" si="403"/>
        <v>ND</v>
      </c>
      <c r="BX148" s="59" t="str">
        <f t="shared" si="404"/>
        <v>ND</v>
      </c>
      <c r="BY148" s="59" t="str">
        <f t="shared" si="405"/>
        <v>ND</v>
      </c>
      <c r="BZ148" s="59" t="str">
        <f t="shared" si="339"/>
        <v>NA</v>
      </c>
      <c r="CA148" s="59" t="str">
        <f t="shared" si="340"/>
        <v/>
      </c>
      <c r="CB148" s="59" t="str">
        <f t="shared" si="341"/>
        <v>NA</v>
      </c>
      <c r="CC148" s="59" t="str">
        <f t="shared" si="342"/>
        <v/>
      </c>
      <c r="CD148" s="59" t="str">
        <f t="shared" si="343"/>
        <v>NA</v>
      </c>
      <c r="CE148" s="59" t="str">
        <f t="shared" si="344"/>
        <v/>
      </c>
      <c r="CF148" s="59" t="str">
        <f t="shared" si="345"/>
        <v>NA</v>
      </c>
      <c r="CG148" s="59" t="str">
        <f t="shared" ca="1" si="346"/>
        <v>NA</v>
      </c>
      <c r="CH148" s="59" t="str">
        <f t="shared" ca="1" si="347"/>
        <v>NA</v>
      </c>
      <c r="CI148" s="59" t="str">
        <f t="shared" ca="1" si="348"/>
        <v>DE 26 A 29 DIAS</v>
      </c>
      <c r="CJ148" s="59" t="str">
        <f t="shared" ca="1" si="349"/>
        <v>DE 26 A 29 DIAS</v>
      </c>
      <c r="CK148" s="59" t="str">
        <f t="shared" ca="1" si="350"/>
        <v>DE 26 A 29 DIAS</v>
      </c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>
        <f t="shared" si="363"/>
        <v>0</v>
      </c>
      <c r="DH148" s="8">
        <f t="shared" si="364"/>
        <v>0</v>
      </c>
      <c r="DI148" s="8">
        <f t="shared" si="365"/>
        <v>0</v>
      </c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59" t="str">
        <f t="shared" si="366"/>
        <v>NA</v>
      </c>
      <c r="DU148" s="59" t="str">
        <f t="shared" si="367"/>
        <v>NA</v>
      </c>
      <c r="DV148" s="59" t="str">
        <f t="shared" si="368"/>
        <v>NA</v>
      </c>
      <c r="DW148" s="59" t="str">
        <f t="shared" si="369"/>
        <v>NA</v>
      </c>
      <c r="DX148" s="59" t="str">
        <f t="shared" si="370"/>
        <v>NA</v>
      </c>
      <c r="DY148" s="59" t="str">
        <f t="shared" si="371"/>
        <v>NA</v>
      </c>
      <c r="DZ148" s="59" t="str">
        <f t="shared" si="372"/>
        <v>NA</v>
      </c>
      <c r="EA148" s="59" t="str">
        <f t="shared" si="373"/>
        <v>NA</v>
      </c>
      <c r="EB148" s="59" t="str">
        <f t="shared" si="374"/>
        <v>NA</v>
      </c>
      <c r="EC148" s="59" t="str">
        <f t="shared" si="375"/>
        <v>NA</v>
      </c>
      <c r="ED148" s="59" t="str">
        <f t="shared" si="376"/>
        <v/>
      </c>
      <c r="EE148" s="59" t="str">
        <f t="shared" si="377"/>
        <v/>
      </c>
      <c r="EF148" s="59" t="str">
        <f t="shared" si="378"/>
        <v/>
      </c>
      <c r="EG148" s="59" t="str">
        <f t="shared" si="379"/>
        <v/>
      </c>
      <c r="EH148" s="59" t="str">
        <f t="shared" si="380"/>
        <v/>
      </c>
      <c r="EI148" s="59" t="str">
        <f t="shared" si="381"/>
        <v/>
      </c>
      <c r="EJ148" s="59" t="str">
        <f t="shared" si="382"/>
        <v/>
      </c>
      <c r="EK148" s="59" t="str">
        <f t="shared" si="383"/>
        <v/>
      </c>
      <c r="EL148" s="59" t="str">
        <f t="shared" si="384"/>
        <v/>
      </c>
      <c r="EM148" s="59" t="str">
        <f t="shared" si="385"/>
        <v/>
      </c>
      <c r="EN148" s="59" t="str">
        <f t="shared" si="386"/>
        <v/>
      </c>
      <c r="EO148" s="59" t="str">
        <f t="shared" si="387"/>
        <v/>
      </c>
      <c r="EP148" s="59" t="str">
        <f t="shared" si="388"/>
        <v/>
      </c>
      <c r="EQ148" s="59" t="str">
        <f t="shared" si="389"/>
        <v/>
      </c>
      <c r="ER148" s="59" t="str">
        <f t="shared" si="390"/>
        <v/>
      </c>
      <c r="ES148" s="59" t="str">
        <f t="shared" si="391"/>
        <v/>
      </c>
      <c r="ET148" s="59" t="str">
        <f t="shared" si="392"/>
        <v/>
      </c>
      <c r="EU148" s="59" t="str">
        <f t="shared" si="393"/>
        <v/>
      </c>
      <c r="EV148" s="59" t="str">
        <f t="shared" si="394"/>
        <v/>
      </c>
      <c r="EW148" s="59" t="str">
        <f t="shared" si="395"/>
        <v/>
      </c>
      <c r="EX148" s="56">
        <f t="shared" si="351"/>
        <v>1126000</v>
      </c>
    </row>
    <row r="149" spans="1:154" x14ac:dyDescent="0.25">
      <c r="A149" s="2">
        <f t="shared" si="396"/>
        <v>148</v>
      </c>
      <c r="B149" s="2" t="s">
        <v>6</v>
      </c>
      <c r="C149" s="2" t="str">
        <f t="shared" si="352"/>
        <v>020911</v>
      </c>
      <c r="D149" s="2">
        <v>2</v>
      </c>
      <c r="E149" s="2">
        <v>9</v>
      </c>
      <c r="F149" s="2">
        <v>11</v>
      </c>
      <c r="G149" s="11" t="s">
        <v>17</v>
      </c>
      <c r="H149" s="4"/>
      <c r="I149" s="42" t="s">
        <v>58</v>
      </c>
      <c r="J149" s="9">
        <v>80</v>
      </c>
      <c r="K149" s="5"/>
      <c r="L149" s="6" t="s">
        <v>306</v>
      </c>
      <c r="M149" s="23" t="s">
        <v>177</v>
      </c>
      <c r="N149" s="7">
        <f t="shared" si="397"/>
        <v>1126000</v>
      </c>
      <c r="O149" s="8">
        <v>187</v>
      </c>
      <c r="P149" s="25">
        <v>41212</v>
      </c>
      <c r="Q149" s="8" t="str">
        <f t="shared" si="353"/>
        <v>2DA-OCT</v>
      </c>
      <c r="R149" s="26">
        <v>0.1</v>
      </c>
      <c r="S149" s="41" t="s">
        <v>34</v>
      </c>
      <c r="T149" s="8" t="s">
        <v>353</v>
      </c>
      <c r="U149" s="8"/>
      <c r="V149" s="7">
        <v>563000</v>
      </c>
      <c r="W149" s="7">
        <f t="shared" si="424"/>
        <v>444770</v>
      </c>
      <c r="X149" s="7">
        <f t="shared" si="355"/>
        <v>118230</v>
      </c>
      <c r="Y149" s="7">
        <v>0</v>
      </c>
      <c r="Z149" s="7">
        <f t="shared" si="356"/>
        <v>444770</v>
      </c>
      <c r="AA149" s="148" t="str">
        <f t="shared" si="357"/>
        <v>80%</v>
      </c>
      <c r="AB149" s="148">
        <f t="shared" si="358"/>
        <v>0.19999999999999996</v>
      </c>
      <c r="AC149" s="25">
        <f ca="1">TODAY()-30</f>
        <v>41092</v>
      </c>
      <c r="AD149" s="25">
        <f t="shared" ref="AD149:AE149" ca="1" si="440">TODAY()-30</f>
        <v>41092</v>
      </c>
      <c r="AE149" s="25">
        <f t="shared" ca="1" si="440"/>
        <v>41092</v>
      </c>
      <c r="AF149" s="8"/>
      <c r="AG149" s="59" t="str">
        <f t="shared" ca="1" si="360"/>
        <v>NA</v>
      </c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59" t="str">
        <f t="shared" si="409"/>
        <v>NA</v>
      </c>
      <c r="AS149" s="59" t="str">
        <f t="shared" si="410"/>
        <v/>
      </c>
      <c r="AT149" s="59"/>
      <c r="AU149" s="59" t="str">
        <f t="shared" si="337"/>
        <v>ND</v>
      </c>
      <c r="AV149" s="66"/>
      <c r="AW149" s="66"/>
      <c r="AX149" s="66"/>
      <c r="AY149" s="66"/>
      <c r="AZ149" s="8"/>
      <c r="BA149" s="8" t="s">
        <v>37</v>
      </c>
      <c r="BB149" s="8"/>
      <c r="BC149" s="8"/>
      <c r="BD149" s="8"/>
      <c r="BE149" s="8"/>
      <c r="BF149" s="8"/>
      <c r="BG149" s="8"/>
      <c r="BH149" s="8"/>
      <c r="BI149" s="8"/>
      <c r="BJ149" s="8"/>
      <c r="BK149" s="59"/>
      <c r="BL149" s="59"/>
      <c r="BM149" s="59"/>
      <c r="BN149" s="164">
        <v>0.01</v>
      </c>
      <c r="BO149" s="165">
        <f t="shared" si="361"/>
        <v>3753.3333333333335</v>
      </c>
      <c r="BP149" s="165">
        <f t="shared" ref="BP149:BQ149" si="441">BO149</f>
        <v>3753.3333333333335</v>
      </c>
      <c r="BQ149" s="165">
        <f t="shared" si="441"/>
        <v>3753.3333333333335</v>
      </c>
      <c r="BR149" s="59"/>
      <c r="BS149" s="59"/>
      <c r="BT149" s="59"/>
      <c r="BU149" s="59"/>
      <c r="BV149" s="59" t="str">
        <f t="shared" si="402"/>
        <v>ND</v>
      </c>
      <c r="BW149" s="59" t="str">
        <f t="shared" si="403"/>
        <v>ND</v>
      </c>
      <c r="BX149" s="59" t="str">
        <f t="shared" si="404"/>
        <v>ND</v>
      </c>
      <c r="BY149" s="59" t="str">
        <f t="shared" si="405"/>
        <v>ND</v>
      </c>
      <c r="BZ149" s="59" t="str">
        <f t="shared" si="339"/>
        <v>NA</v>
      </c>
      <c r="CA149" s="59" t="str">
        <f t="shared" si="340"/>
        <v/>
      </c>
      <c r="CB149" s="59" t="str">
        <f t="shared" si="341"/>
        <v>NA</v>
      </c>
      <c r="CC149" s="59" t="str">
        <f t="shared" si="342"/>
        <v/>
      </c>
      <c r="CD149" s="59" t="str">
        <f t="shared" si="343"/>
        <v>NA</v>
      </c>
      <c r="CE149" s="59" t="str">
        <f t="shared" si="344"/>
        <v/>
      </c>
      <c r="CF149" s="59" t="str">
        <f t="shared" si="345"/>
        <v>NA</v>
      </c>
      <c r="CG149" s="59" t="str">
        <f t="shared" ca="1" si="346"/>
        <v>NA</v>
      </c>
      <c r="CH149" s="59" t="str">
        <f t="shared" ca="1" si="347"/>
        <v>NA</v>
      </c>
      <c r="CI149" s="59" t="str">
        <f t="shared" ca="1" si="348"/>
        <v>30 DIAS</v>
      </c>
      <c r="CJ149" s="59" t="str">
        <f t="shared" ca="1" si="349"/>
        <v>30 DIAS</v>
      </c>
      <c r="CK149" s="59" t="str">
        <f t="shared" ca="1" si="350"/>
        <v>30 DIAS</v>
      </c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>
        <f t="shared" si="363"/>
        <v>0</v>
      </c>
      <c r="DH149" s="8">
        <f t="shared" si="364"/>
        <v>0</v>
      </c>
      <c r="DI149" s="8">
        <f t="shared" si="365"/>
        <v>0</v>
      </c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59" t="str">
        <f t="shared" si="366"/>
        <v>NA</v>
      </c>
      <c r="DU149" s="59" t="str">
        <f t="shared" si="367"/>
        <v>NA</v>
      </c>
      <c r="DV149" s="59" t="str">
        <f t="shared" si="368"/>
        <v>NA</v>
      </c>
      <c r="DW149" s="59" t="str">
        <f t="shared" si="369"/>
        <v>NA</v>
      </c>
      <c r="DX149" s="59" t="str">
        <f t="shared" si="370"/>
        <v>NA</v>
      </c>
      <c r="DY149" s="59" t="str">
        <f t="shared" si="371"/>
        <v>NA</v>
      </c>
      <c r="DZ149" s="59" t="str">
        <f t="shared" si="372"/>
        <v>NA</v>
      </c>
      <c r="EA149" s="59" t="str">
        <f t="shared" si="373"/>
        <v>NA</v>
      </c>
      <c r="EB149" s="59" t="str">
        <f t="shared" si="374"/>
        <v>NA</v>
      </c>
      <c r="EC149" s="59" t="str">
        <f t="shared" si="375"/>
        <v>NA</v>
      </c>
      <c r="ED149" s="59" t="str">
        <f t="shared" si="376"/>
        <v/>
      </c>
      <c r="EE149" s="59" t="str">
        <f t="shared" si="377"/>
        <v/>
      </c>
      <c r="EF149" s="59" t="str">
        <f t="shared" si="378"/>
        <v/>
      </c>
      <c r="EG149" s="59" t="str">
        <f t="shared" si="379"/>
        <v/>
      </c>
      <c r="EH149" s="59" t="str">
        <f t="shared" si="380"/>
        <v/>
      </c>
      <c r="EI149" s="59" t="str">
        <f t="shared" si="381"/>
        <v/>
      </c>
      <c r="EJ149" s="59" t="str">
        <f t="shared" si="382"/>
        <v/>
      </c>
      <c r="EK149" s="59" t="str">
        <f t="shared" si="383"/>
        <v/>
      </c>
      <c r="EL149" s="59" t="str">
        <f t="shared" si="384"/>
        <v/>
      </c>
      <c r="EM149" s="59" t="str">
        <f t="shared" si="385"/>
        <v/>
      </c>
      <c r="EN149" s="59" t="str">
        <f t="shared" si="386"/>
        <v/>
      </c>
      <c r="EO149" s="59" t="str">
        <f t="shared" si="387"/>
        <v/>
      </c>
      <c r="EP149" s="59" t="str">
        <f t="shared" si="388"/>
        <v/>
      </c>
      <c r="EQ149" s="59" t="str">
        <f t="shared" si="389"/>
        <v/>
      </c>
      <c r="ER149" s="59" t="str">
        <f t="shared" si="390"/>
        <v/>
      </c>
      <c r="ES149" s="59" t="str">
        <f t="shared" si="391"/>
        <v/>
      </c>
      <c r="ET149" s="59" t="str">
        <f t="shared" si="392"/>
        <v/>
      </c>
      <c r="EU149" s="59" t="str">
        <f t="shared" si="393"/>
        <v/>
      </c>
      <c r="EV149" s="59" t="str">
        <f t="shared" si="394"/>
        <v/>
      </c>
      <c r="EW149" s="59" t="str">
        <f t="shared" si="395"/>
        <v/>
      </c>
      <c r="EX149" s="56">
        <f t="shared" si="351"/>
        <v>1126000</v>
      </c>
    </row>
    <row r="150" spans="1:154" x14ac:dyDescent="0.25">
      <c r="A150" s="2">
        <f t="shared" si="396"/>
        <v>149</v>
      </c>
      <c r="B150" s="2" t="s">
        <v>6</v>
      </c>
      <c r="C150" s="2" t="str">
        <f t="shared" si="352"/>
        <v>020912</v>
      </c>
      <c r="D150" s="2">
        <v>2</v>
      </c>
      <c r="E150" s="2">
        <v>9</v>
      </c>
      <c r="F150" s="2">
        <v>12</v>
      </c>
      <c r="G150" s="11" t="s">
        <v>17</v>
      </c>
      <c r="H150" s="4"/>
      <c r="I150" s="42" t="s">
        <v>58</v>
      </c>
      <c r="J150" s="9">
        <v>80</v>
      </c>
      <c r="K150" s="9"/>
      <c r="L150" s="10" t="s">
        <v>8</v>
      </c>
      <c r="M150" s="23" t="s">
        <v>177</v>
      </c>
      <c r="N150" s="7">
        <f t="shared" si="397"/>
        <v>1135000</v>
      </c>
      <c r="O150" s="8">
        <v>188</v>
      </c>
      <c r="P150" s="25">
        <v>41212</v>
      </c>
      <c r="Q150" s="8" t="str">
        <f t="shared" si="353"/>
        <v>2DA-OCT</v>
      </c>
      <c r="R150" s="26">
        <v>0.1</v>
      </c>
      <c r="S150" s="41" t="s">
        <v>34</v>
      </c>
      <c r="T150" s="8" t="s">
        <v>353</v>
      </c>
      <c r="U150" s="8"/>
      <c r="V150" s="7">
        <v>567500</v>
      </c>
      <c r="W150" s="7">
        <f t="shared" si="424"/>
        <v>448325</v>
      </c>
      <c r="X150" s="7">
        <f t="shared" si="355"/>
        <v>119175</v>
      </c>
      <c r="Y150" s="7">
        <v>0</v>
      </c>
      <c r="Z150" s="7">
        <f t="shared" si="356"/>
        <v>448325</v>
      </c>
      <c r="AA150" s="148" t="str">
        <f t="shared" si="357"/>
        <v>80%</v>
      </c>
      <c r="AB150" s="148">
        <f t="shared" si="358"/>
        <v>0.19999999999999996</v>
      </c>
      <c r="AC150" s="25">
        <f ca="1">TODAY()-34</f>
        <v>41088</v>
      </c>
      <c r="AD150" s="25">
        <f t="shared" ref="AD150:AE150" ca="1" si="442">TODAY()-34</f>
        <v>41088</v>
      </c>
      <c r="AE150" s="25">
        <f t="shared" ca="1" si="442"/>
        <v>41088</v>
      </c>
      <c r="AF150" s="8"/>
      <c r="AG150" s="59" t="str">
        <f t="shared" ca="1" si="360"/>
        <v>NA</v>
      </c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59" t="str">
        <f t="shared" si="409"/>
        <v>NA</v>
      </c>
      <c r="AS150" s="59" t="str">
        <f t="shared" si="410"/>
        <v/>
      </c>
      <c r="AT150" s="59"/>
      <c r="AU150" s="59" t="str">
        <f t="shared" si="337"/>
        <v>ND</v>
      </c>
      <c r="AV150" s="66"/>
      <c r="AW150" s="66"/>
      <c r="AX150" s="66"/>
      <c r="AY150" s="66"/>
      <c r="AZ150" s="8"/>
      <c r="BA150" s="8" t="s">
        <v>37</v>
      </c>
      <c r="BB150" s="8"/>
      <c r="BC150" s="8"/>
      <c r="BD150" s="8"/>
      <c r="BE150" s="8"/>
      <c r="BF150" s="8"/>
      <c r="BG150" s="8"/>
      <c r="BH150" s="8"/>
      <c r="BI150" s="8"/>
      <c r="BJ150" s="8"/>
      <c r="BK150" s="59"/>
      <c r="BL150" s="59"/>
      <c r="BM150" s="59"/>
      <c r="BN150" s="164">
        <v>0.01</v>
      </c>
      <c r="BO150" s="165">
        <f t="shared" si="361"/>
        <v>3783.3333333333335</v>
      </c>
      <c r="BP150" s="165">
        <f t="shared" ref="BP150:BQ150" si="443">BO150</f>
        <v>3783.3333333333335</v>
      </c>
      <c r="BQ150" s="165">
        <f t="shared" si="443"/>
        <v>3783.3333333333335</v>
      </c>
      <c r="BR150" s="59"/>
      <c r="BS150" s="59"/>
      <c r="BT150" s="59"/>
      <c r="BU150" s="59"/>
      <c r="BV150" s="59" t="str">
        <f t="shared" si="402"/>
        <v>ND</v>
      </c>
      <c r="BW150" s="59" t="str">
        <f t="shared" si="403"/>
        <v>ND</v>
      </c>
      <c r="BX150" s="59" t="str">
        <f t="shared" si="404"/>
        <v>ND</v>
      </c>
      <c r="BY150" s="59" t="str">
        <f t="shared" si="405"/>
        <v>ND</v>
      </c>
      <c r="BZ150" s="59" t="str">
        <f t="shared" si="339"/>
        <v>NA</v>
      </c>
      <c r="CA150" s="59" t="str">
        <f t="shared" si="340"/>
        <v/>
      </c>
      <c r="CB150" s="59" t="str">
        <f t="shared" si="341"/>
        <v>NA</v>
      </c>
      <c r="CC150" s="59" t="str">
        <f t="shared" si="342"/>
        <v/>
      </c>
      <c r="CD150" s="59" t="str">
        <f t="shared" si="343"/>
        <v>NA</v>
      </c>
      <c r="CE150" s="59" t="str">
        <f t="shared" si="344"/>
        <v/>
      </c>
      <c r="CF150" s="59" t="str">
        <f t="shared" si="345"/>
        <v>NA</v>
      </c>
      <c r="CG150" s="59" t="str">
        <f t="shared" ca="1" si="346"/>
        <v>NA</v>
      </c>
      <c r="CH150" s="59" t="str">
        <f t="shared" ca="1" si="347"/>
        <v>NA</v>
      </c>
      <c r="CI150" s="59" t="str">
        <f t="shared" ca="1" si="348"/>
        <v>DE 31 A 35 DIAS</v>
      </c>
      <c r="CJ150" s="59" t="str">
        <f t="shared" ca="1" si="349"/>
        <v>DE 31 A 35 DIAS</v>
      </c>
      <c r="CK150" s="59" t="str">
        <f t="shared" ca="1" si="350"/>
        <v>DE 31 A 35 DIAS</v>
      </c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>
        <f t="shared" si="363"/>
        <v>0</v>
      </c>
      <c r="DH150" s="8">
        <f t="shared" si="364"/>
        <v>0</v>
      </c>
      <c r="DI150" s="8">
        <f t="shared" si="365"/>
        <v>0</v>
      </c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59" t="str">
        <f t="shared" si="366"/>
        <v>NA</v>
      </c>
      <c r="DU150" s="59" t="str">
        <f t="shared" si="367"/>
        <v>NA</v>
      </c>
      <c r="DV150" s="59" t="str">
        <f t="shared" si="368"/>
        <v>NA</v>
      </c>
      <c r="DW150" s="59" t="str">
        <f t="shared" si="369"/>
        <v>NA</v>
      </c>
      <c r="DX150" s="59" t="str">
        <f t="shared" si="370"/>
        <v>NA</v>
      </c>
      <c r="DY150" s="59" t="str">
        <f t="shared" si="371"/>
        <v>NA</v>
      </c>
      <c r="DZ150" s="59" t="str">
        <f t="shared" si="372"/>
        <v>NA</v>
      </c>
      <c r="EA150" s="59" t="str">
        <f t="shared" si="373"/>
        <v>NA</v>
      </c>
      <c r="EB150" s="59" t="str">
        <f t="shared" si="374"/>
        <v>NA</v>
      </c>
      <c r="EC150" s="59" t="str">
        <f t="shared" si="375"/>
        <v>NA</v>
      </c>
      <c r="ED150" s="59" t="str">
        <f t="shared" si="376"/>
        <v/>
      </c>
      <c r="EE150" s="59" t="str">
        <f t="shared" si="377"/>
        <v/>
      </c>
      <c r="EF150" s="59" t="str">
        <f t="shared" si="378"/>
        <v/>
      </c>
      <c r="EG150" s="59" t="str">
        <f t="shared" si="379"/>
        <v/>
      </c>
      <c r="EH150" s="59" t="str">
        <f t="shared" si="380"/>
        <v/>
      </c>
      <c r="EI150" s="59" t="str">
        <f t="shared" si="381"/>
        <v/>
      </c>
      <c r="EJ150" s="59" t="str">
        <f t="shared" si="382"/>
        <v/>
      </c>
      <c r="EK150" s="59" t="str">
        <f t="shared" si="383"/>
        <v/>
      </c>
      <c r="EL150" s="59" t="str">
        <f t="shared" si="384"/>
        <v/>
      </c>
      <c r="EM150" s="59" t="str">
        <f t="shared" si="385"/>
        <v/>
      </c>
      <c r="EN150" s="59" t="str">
        <f t="shared" si="386"/>
        <v/>
      </c>
      <c r="EO150" s="59" t="str">
        <f t="shared" si="387"/>
        <v/>
      </c>
      <c r="EP150" s="59" t="str">
        <f t="shared" si="388"/>
        <v/>
      </c>
      <c r="EQ150" s="59" t="str">
        <f t="shared" si="389"/>
        <v/>
      </c>
      <c r="ER150" s="59" t="str">
        <f t="shared" si="390"/>
        <v/>
      </c>
      <c r="ES150" s="59" t="str">
        <f t="shared" si="391"/>
        <v/>
      </c>
      <c r="ET150" s="59" t="str">
        <f t="shared" si="392"/>
        <v/>
      </c>
      <c r="EU150" s="59" t="str">
        <f t="shared" si="393"/>
        <v/>
      </c>
      <c r="EV150" s="59" t="str">
        <f t="shared" si="394"/>
        <v/>
      </c>
      <c r="EW150" s="59" t="str">
        <f t="shared" si="395"/>
        <v/>
      </c>
      <c r="EX150" s="56">
        <f t="shared" si="351"/>
        <v>1135000</v>
      </c>
    </row>
    <row r="151" spans="1:154" x14ac:dyDescent="0.25">
      <c r="A151" s="2">
        <f t="shared" si="396"/>
        <v>150</v>
      </c>
      <c r="B151" s="2" t="s">
        <v>6</v>
      </c>
      <c r="C151" s="2" t="str">
        <f t="shared" si="352"/>
        <v>020913</v>
      </c>
      <c r="D151" s="2">
        <v>2</v>
      </c>
      <c r="E151" s="2">
        <v>9</v>
      </c>
      <c r="F151" s="2">
        <v>13</v>
      </c>
      <c r="G151" s="11" t="s">
        <v>17</v>
      </c>
      <c r="H151" s="4"/>
      <c r="I151" s="42" t="s">
        <v>60</v>
      </c>
      <c r="J151" s="9">
        <v>80</v>
      </c>
      <c r="K151" s="5"/>
      <c r="L151" s="6" t="s">
        <v>306</v>
      </c>
      <c r="M151" s="22" t="s">
        <v>176</v>
      </c>
      <c r="N151" s="7">
        <f t="shared" si="397"/>
        <v>1126000</v>
      </c>
      <c r="O151" s="8">
        <v>189</v>
      </c>
      <c r="P151" s="25">
        <v>41136</v>
      </c>
      <c r="Q151" s="8" t="str">
        <f t="shared" si="353"/>
        <v>2DA-AGO</v>
      </c>
      <c r="R151" s="26">
        <v>0.9</v>
      </c>
      <c r="S151" s="41" t="s">
        <v>33</v>
      </c>
      <c r="T151" s="8" t="s">
        <v>352</v>
      </c>
      <c r="U151" s="25">
        <v>41061</v>
      </c>
      <c r="V151" s="7">
        <v>563000</v>
      </c>
      <c r="W151" s="7">
        <f t="shared" si="424"/>
        <v>444770</v>
      </c>
      <c r="X151" s="7">
        <f t="shared" si="355"/>
        <v>0</v>
      </c>
      <c r="Y151" s="7">
        <v>444770</v>
      </c>
      <c r="Z151" s="7">
        <f t="shared" si="356"/>
        <v>0</v>
      </c>
      <c r="AA151" s="148" t="str">
        <f t="shared" si="357"/>
        <v>80%</v>
      </c>
      <c r="AB151" s="148">
        <f t="shared" si="358"/>
        <v>0.19999999999999996</v>
      </c>
      <c r="AC151" s="25">
        <f ca="1">TODAY()-39</f>
        <v>41083</v>
      </c>
      <c r="AD151" s="25">
        <f t="shared" ref="AD151:AE151" ca="1" si="444">TODAY()-39</f>
        <v>41083</v>
      </c>
      <c r="AE151" s="25">
        <f t="shared" ca="1" si="444"/>
        <v>41083</v>
      </c>
      <c r="AF151" s="25">
        <v>41030</v>
      </c>
      <c r="AG151" s="59" t="str">
        <f t="shared" ca="1" si="360"/>
        <v>MAYOR A 2 MESES</v>
      </c>
      <c r="AH151" s="55" t="s">
        <v>128</v>
      </c>
      <c r="AI151" s="55"/>
      <c r="AJ151" s="55"/>
      <c r="AK151" s="55"/>
      <c r="AL151" s="55"/>
      <c r="AM151" s="55"/>
      <c r="AN151" s="8"/>
      <c r="AO151" s="8">
        <v>654654</v>
      </c>
      <c r="AP151" s="8">
        <v>651</v>
      </c>
      <c r="AQ151" s="8">
        <v>32132</v>
      </c>
      <c r="AR151" s="59" t="str">
        <f t="shared" si="409"/>
        <v>SEM 18</v>
      </c>
      <c r="AS151" s="59" t="str">
        <f t="shared" si="410"/>
        <v>MAY</v>
      </c>
      <c r="AT151" s="59">
        <v>44000</v>
      </c>
      <c r="AU151" s="59" t="str">
        <f t="shared" si="337"/>
        <v>ENTRE 35 Y 45 MIL</v>
      </c>
      <c r="AV151" s="66" t="s">
        <v>148</v>
      </c>
      <c r="AW151" s="66" t="s">
        <v>38</v>
      </c>
      <c r="AX151" s="66" t="s">
        <v>83</v>
      </c>
      <c r="AY151" s="66" t="s">
        <v>174</v>
      </c>
      <c r="AZ151" s="25">
        <v>41030</v>
      </c>
      <c r="BA151" s="8" t="s">
        <v>65</v>
      </c>
      <c r="BB151" s="25">
        <v>41034</v>
      </c>
      <c r="BC151" s="25">
        <v>41141</v>
      </c>
      <c r="BD151" s="25">
        <v>41105</v>
      </c>
      <c r="BE151" s="25"/>
      <c r="BF151" s="8"/>
      <c r="BG151" s="8"/>
      <c r="BH151" s="8"/>
      <c r="BI151" s="8">
        <v>130</v>
      </c>
      <c r="BJ151" s="8"/>
      <c r="BK151" s="59" t="s">
        <v>371</v>
      </c>
      <c r="BL151" s="59" t="s">
        <v>371</v>
      </c>
      <c r="BM151" s="59" t="s">
        <v>378</v>
      </c>
      <c r="BN151" s="164">
        <v>0.01</v>
      </c>
      <c r="BO151" s="165">
        <f t="shared" si="361"/>
        <v>3753.3333333333335</v>
      </c>
      <c r="BP151" s="165">
        <f t="shared" ref="BP151:BQ151" si="445">BO151</f>
        <v>3753.3333333333335</v>
      </c>
      <c r="BQ151" s="165">
        <f t="shared" si="445"/>
        <v>3753.3333333333335</v>
      </c>
      <c r="BR151" s="162">
        <v>41044</v>
      </c>
      <c r="BS151" s="162">
        <v>41120</v>
      </c>
      <c r="BT151" s="59"/>
      <c r="BU151" s="59"/>
      <c r="BV151" s="59" t="str">
        <f t="shared" si="402"/>
        <v>2DA-MAY-2012</v>
      </c>
      <c r="BW151" s="59" t="str">
        <f t="shared" si="403"/>
        <v>2DA-JUL-2012</v>
      </c>
      <c r="BX151" s="59" t="str">
        <f t="shared" si="404"/>
        <v>ND</v>
      </c>
      <c r="BY151" s="59" t="str">
        <f t="shared" si="405"/>
        <v>ND</v>
      </c>
      <c r="BZ151" s="59" t="str">
        <f t="shared" si="339"/>
        <v>SEM 18</v>
      </c>
      <c r="CA151" s="59" t="str">
        <f t="shared" si="340"/>
        <v>MAY</v>
      </c>
      <c r="CB151" s="59" t="str">
        <f t="shared" si="341"/>
        <v>NA</v>
      </c>
      <c r="CC151" s="59" t="str">
        <f t="shared" si="342"/>
        <v/>
      </c>
      <c r="CD151" s="59" t="str">
        <f t="shared" si="343"/>
        <v>NA</v>
      </c>
      <c r="CE151" s="59" t="str">
        <f t="shared" si="344"/>
        <v/>
      </c>
      <c r="CF151" s="59" t="str">
        <f t="shared" si="345"/>
        <v>2DA-AGO</v>
      </c>
      <c r="CG151" s="59" t="str">
        <f t="shared" ca="1" si="346"/>
        <v>MAYOR A 2 MESES</v>
      </c>
      <c r="CH151" s="59" t="str">
        <f t="shared" ca="1" si="347"/>
        <v>NA</v>
      </c>
      <c r="CI151" s="59" t="str">
        <f t="shared" ca="1" si="348"/>
        <v>DE 36 A 45 DIAS</v>
      </c>
      <c r="CJ151" s="59" t="str">
        <f t="shared" ca="1" si="349"/>
        <v>DE 36 A 45 DIAS</v>
      </c>
      <c r="CK151" s="59" t="str">
        <f t="shared" ca="1" si="350"/>
        <v>DE 36 A 45 DIAS</v>
      </c>
      <c r="CL151" s="8">
        <v>5000</v>
      </c>
      <c r="CM151" s="8">
        <v>20000</v>
      </c>
      <c r="CN151" s="8">
        <v>10000</v>
      </c>
      <c r="CO151" s="8"/>
      <c r="CP151" s="8"/>
      <c r="CQ151" s="8"/>
      <c r="CR151" s="8"/>
      <c r="CS151" s="8"/>
      <c r="CT151" s="8"/>
      <c r="CU151" s="8"/>
      <c r="CV151" s="8"/>
      <c r="CW151" s="8" t="s">
        <v>250</v>
      </c>
      <c r="CX151" s="8" t="s">
        <v>250</v>
      </c>
      <c r="CY151" s="8"/>
      <c r="CZ151" s="8"/>
      <c r="DA151" s="8"/>
      <c r="DB151" s="8"/>
      <c r="DC151" s="8"/>
      <c r="DD151" s="8"/>
      <c r="DE151" s="8"/>
      <c r="DF151" s="8"/>
      <c r="DG151" s="8">
        <f t="shared" si="363"/>
        <v>0</v>
      </c>
      <c r="DH151" s="8">
        <f t="shared" si="364"/>
        <v>30000</v>
      </c>
      <c r="DI151" s="8">
        <f t="shared" si="365"/>
        <v>0</v>
      </c>
      <c r="DJ151" s="25">
        <f>+AZ151+15</f>
        <v>41045</v>
      </c>
      <c r="DK151" s="25">
        <f>+DJ151+15</f>
        <v>41060</v>
      </c>
      <c r="DL151" s="8"/>
      <c r="DM151" s="8"/>
      <c r="DN151" s="8"/>
      <c r="DO151" s="8"/>
      <c r="DP151" s="8"/>
      <c r="DQ151" s="8"/>
      <c r="DR151" s="8"/>
      <c r="DS151" s="8"/>
      <c r="DT151" s="59" t="str">
        <f t="shared" si="366"/>
        <v>SEM 20</v>
      </c>
      <c r="DU151" s="59" t="str">
        <f t="shared" si="367"/>
        <v>SEM 22</v>
      </c>
      <c r="DV151" s="59" t="str">
        <f t="shared" si="368"/>
        <v>NA</v>
      </c>
      <c r="DW151" s="59" t="str">
        <f t="shared" si="369"/>
        <v>NA</v>
      </c>
      <c r="DX151" s="59" t="str">
        <f t="shared" si="370"/>
        <v>NA</v>
      </c>
      <c r="DY151" s="59" t="str">
        <f t="shared" si="371"/>
        <v>NA</v>
      </c>
      <c r="DZ151" s="59" t="str">
        <f t="shared" si="372"/>
        <v>NA</v>
      </c>
      <c r="EA151" s="59" t="str">
        <f t="shared" si="373"/>
        <v>NA</v>
      </c>
      <c r="EB151" s="59" t="str">
        <f t="shared" si="374"/>
        <v>NA</v>
      </c>
      <c r="EC151" s="59" t="str">
        <f t="shared" si="375"/>
        <v>NA</v>
      </c>
      <c r="ED151" s="59" t="str">
        <f t="shared" si="376"/>
        <v>MAY</v>
      </c>
      <c r="EE151" s="59" t="str">
        <f t="shared" si="377"/>
        <v>MAY</v>
      </c>
      <c r="EF151" s="59" t="str">
        <f t="shared" si="378"/>
        <v/>
      </c>
      <c r="EG151" s="59" t="str">
        <f t="shared" si="379"/>
        <v/>
      </c>
      <c r="EH151" s="59" t="str">
        <f t="shared" si="380"/>
        <v/>
      </c>
      <c r="EI151" s="59" t="str">
        <f t="shared" si="381"/>
        <v/>
      </c>
      <c r="EJ151" s="59" t="str">
        <f t="shared" si="382"/>
        <v/>
      </c>
      <c r="EK151" s="59" t="str">
        <f t="shared" si="383"/>
        <v/>
      </c>
      <c r="EL151" s="59" t="str">
        <f t="shared" si="384"/>
        <v/>
      </c>
      <c r="EM151" s="59" t="str">
        <f t="shared" si="385"/>
        <v/>
      </c>
      <c r="EN151" s="59">
        <f t="shared" si="386"/>
        <v>2012</v>
      </c>
      <c r="EO151" s="59">
        <f t="shared" si="387"/>
        <v>2012</v>
      </c>
      <c r="EP151" s="59" t="str">
        <f t="shared" si="388"/>
        <v/>
      </c>
      <c r="EQ151" s="59" t="str">
        <f t="shared" si="389"/>
        <v/>
      </c>
      <c r="ER151" s="59" t="str">
        <f t="shared" si="390"/>
        <v/>
      </c>
      <c r="ES151" s="59" t="str">
        <f t="shared" si="391"/>
        <v/>
      </c>
      <c r="ET151" s="59" t="str">
        <f t="shared" si="392"/>
        <v/>
      </c>
      <c r="EU151" s="59" t="str">
        <f t="shared" si="393"/>
        <v/>
      </c>
      <c r="EV151" s="59" t="str">
        <f t="shared" si="394"/>
        <v/>
      </c>
      <c r="EW151" s="59" t="str">
        <f t="shared" si="395"/>
        <v/>
      </c>
      <c r="EX151" s="56">
        <f t="shared" si="351"/>
        <v>1091000</v>
      </c>
    </row>
    <row r="152" spans="1:154" x14ac:dyDescent="0.25">
      <c r="A152" s="2">
        <f t="shared" si="396"/>
        <v>151</v>
      </c>
      <c r="B152" s="2" t="s">
        <v>6</v>
      </c>
      <c r="C152" s="2" t="str">
        <f t="shared" si="352"/>
        <v>020914</v>
      </c>
      <c r="D152" s="2">
        <v>2</v>
      </c>
      <c r="E152" s="2">
        <v>9</v>
      </c>
      <c r="F152" s="2">
        <v>14</v>
      </c>
      <c r="G152" s="11" t="s">
        <v>17</v>
      </c>
      <c r="H152" s="4"/>
      <c r="I152" s="42" t="s">
        <v>60</v>
      </c>
      <c r="J152" s="9">
        <v>80</v>
      </c>
      <c r="K152" s="5"/>
      <c r="L152" s="6" t="s">
        <v>306</v>
      </c>
      <c r="M152" s="22" t="s">
        <v>176</v>
      </c>
      <c r="N152" s="7">
        <f t="shared" si="397"/>
        <v>1126000</v>
      </c>
      <c r="O152" s="8">
        <v>190</v>
      </c>
      <c r="P152" s="25">
        <v>41136</v>
      </c>
      <c r="Q152" s="8" t="str">
        <f t="shared" si="353"/>
        <v>2DA-AGO</v>
      </c>
      <c r="R152" s="26">
        <v>0.9</v>
      </c>
      <c r="S152" s="41" t="s">
        <v>33</v>
      </c>
      <c r="T152" s="8" t="s">
        <v>352</v>
      </c>
      <c r="U152" s="25">
        <v>41061</v>
      </c>
      <c r="V152" s="7">
        <v>563000</v>
      </c>
      <c r="W152" s="7">
        <f t="shared" si="424"/>
        <v>444770</v>
      </c>
      <c r="X152" s="7">
        <f t="shared" si="355"/>
        <v>0</v>
      </c>
      <c r="Y152" s="7">
        <v>444770</v>
      </c>
      <c r="Z152" s="7">
        <f t="shared" si="356"/>
        <v>0</v>
      </c>
      <c r="AA152" s="148" t="str">
        <f t="shared" si="357"/>
        <v>80%</v>
      </c>
      <c r="AB152" s="148">
        <f t="shared" si="358"/>
        <v>0.19999999999999996</v>
      </c>
      <c r="AC152" s="25">
        <f ca="1">TODAY()-45</f>
        <v>41077</v>
      </c>
      <c r="AD152" s="25">
        <f t="shared" ref="AD152:AE152" ca="1" si="446">TODAY()-45</f>
        <v>41077</v>
      </c>
      <c r="AE152" s="25">
        <f t="shared" ca="1" si="446"/>
        <v>41077</v>
      </c>
      <c r="AF152" s="25">
        <v>41074</v>
      </c>
      <c r="AG152" s="59" t="str">
        <f t="shared" ca="1" si="360"/>
        <v>7MA SEM</v>
      </c>
      <c r="AH152" s="55" t="s">
        <v>129</v>
      </c>
      <c r="AI152" s="55"/>
      <c r="AJ152" s="55"/>
      <c r="AK152" s="55"/>
      <c r="AL152" s="55"/>
      <c r="AM152" s="55"/>
      <c r="AN152" s="8"/>
      <c r="AO152" s="8">
        <v>654654</v>
      </c>
      <c r="AP152" s="8">
        <v>361</v>
      </c>
      <c r="AQ152" s="8">
        <v>1321</v>
      </c>
      <c r="AR152" s="59" t="str">
        <f t="shared" si="409"/>
        <v>SEM 24</v>
      </c>
      <c r="AS152" s="59" t="str">
        <f t="shared" si="410"/>
        <v>JUN</v>
      </c>
      <c r="AT152" s="59">
        <v>17000</v>
      </c>
      <c r="AU152" s="59" t="str">
        <f t="shared" si="337"/>
        <v>ENTRE 12 Y 18 MIL</v>
      </c>
      <c r="AV152" s="66" t="s">
        <v>148</v>
      </c>
      <c r="AW152" s="66" t="s">
        <v>38</v>
      </c>
      <c r="AX152" s="66" t="s">
        <v>82</v>
      </c>
      <c r="AY152" s="66" t="s">
        <v>174</v>
      </c>
      <c r="AZ152" s="25">
        <v>41090</v>
      </c>
      <c r="BA152" s="8" t="s">
        <v>66</v>
      </c>
      <c r="BB152" s="25">
        <v>41090</v>
      </c>
      <c r="BC152" s="25">
        <v>41141</v>
      </c>
      <c r="BD152" s="25">
        <v>41100</v>
      </c>
      <c r="BE152" s="25"/>
      <c r="BF152" s="8"/>
      <c r="BG152" s="8"/>
      <c r="BH152" s="8"/>
      <c r="BI152" s="8">
        <v>130</v>
      </c>
      <c r="BJ152" s="8"/>
      <c r="BK152" s="59" t="s">
        <v>371</v>
      </c>
      <c r="BL152" s="59" t="s">
        <v>371</v>
      </c>
      <c r="BM152" s="59" t="s">
        <v>378</v>
      </c>
      <c r="BN152" s="164">
        <v>0.01</v>
      </c>
      <c r="BO152" s="165">
        <f t="shared" si="361"/>
        <v>3753.3333333333335</v>
      </c>
      <c r="BP152" s="165">
        <f t="shared" ref="BP152:BQ152" si="447">BO152</f>
        <v>3753.3333333333335</v>
      </c>
      <c r="BQ152" s="165">
        <f t="shared" si="447"/>
        <v>3753.3333333333335</v>
      </c>
      <c r="BR152" s="162">
        <v>41105</v>
      </c>
      <c r="BS152" s="162">
        <v>41105</v>
      </c>
      <c r="BT152" s="59"/>
      <c r="BU152" s="59"/>
      <c r="BV152" s="59" t="str">
        <f t="shared" si="402"/>
        <v>2DA-JUL-2012</v>
      </c>
      <c r="BW152" s="59" t="str">
        <f t="shared" si="403"/>
        <v>2DA-JUL-2012</v>
      </c>
      <c r="BX152" s="59" t="str">
        <f t="shared" si="404"/>
        <v>ND</v>
      </c>
      <c r="BY152" s="59" t="str">
        <f t="shared" si="405"/>
        <v>ND</v>
      </c>
      <c r="BZ152" s="59" t="str">
        <f t="shared" si="339"/>
        <v>SEM 26</v>
      </c>
      <c r="CA152" s="59" t="str">
        <f t="shared" si="340"/>
        <v>JUN</v>
      </c>
      <c r="CB152" s="59" t="str">
        <f t="shared" si="341"/>
        <v>NA</v>
      </c>
      <c r="CC152" s="59" t="str">
        <f t="shared" si="342"/>
        <v/>
      </c>
      <c r="CD152" s="59" t="str">
        <f t="shared" si="343"/>
        <v>NA</v>
      </c>
      <c r="CE152" s="59" t="str">
        <f t="shared" si="344"/>
        <v/>
      </c>
      <c r="CF152" s="59" t="str">
        <f t="shared" si="345"/>
        <v>2DA-AGO</v>
      </c>
      <c r="CG152" s="59" t="str">
        <f t="shared" ca="1" si="346"/>
        <v>5TA SEM</v>
      </c>
      <c r="CH152" s="59" t="str">
        <f t="shared" ca="1" si="347"/>
        <v>NA</v>
      </c>
      <c r="CI152" s="59" t="str">
        <f t="shared" ca="1" si="348"/>
        <v>DE 36 A 45 DIAS</v>
      </c>
      <c r="CJ152" s="59" t="str">
        <f t="shared" ca="1" si="349"/>
        <v>DE 36 A 45 DIAS</v>
      </c>
      <c r="CK152" s="59" t="str">
        <f t="shared" ca="1" si="350"/>
        <v>DE 36 A 45 DIAS</v>
      </c>
      <c r="CL152" s="8">
        <v>30000</v>
      </c>
      <c r="CM152" s="8">
        <v>15000</v>
      </c>
      <c r="CN152" s="8">
        <v>12000</v>
      </c>
      <c r="CO152" s="8"/>
      <c r="CP152" s="8"/>
      <c r="CQ152" s="8"/>
      <c r="CR152" s="8"/>
      <c r="CS152" s="8"/>
      <c r="CT152" s="8"/>
      <c r="CU152" s="8"/>
      <c r="CV152" s="8"/>
      <c r="CW152" s="8" t="s">
        <v>250</v>
      </c>
      <c r="CX152" s="8" t="s">
        <v>249</v>
      </c>
      <c r="CY152" s="8"/>
      <c r="CZ152" s="8"/>
      <c r="DA152" s="8"/>
      <c r="DB152" s="8"/>
      <c r="DC152" s="8"/>
      <c r="DD152" s="8"/>
      <c r="DE152" s="8"/>
      <c r="DF152" s="8"/>
      <c r="DG152" s="8">
        <f t="shared" si="363"/>
        <v>12000</v>
      </c>
      <c r="DH152" s="8">
        <f t="shared" si="364"/>
        <v>15000</v>
      </c>
      <c r="DI152" s="8">
        <f t="shared" si="365"/>
        <v>0</v>
      </c>
      <c r="DJ152" s="25">
        <f>+AZ152+15</f>
        <v>41105</v>
      </c>
      <c r="DK152" s="25">
        <f>+DJ152+15</f>
        <v>41120</v>
      </c>
      <c r="DL152" s="8"/>
      <c r="DM152" s="8"/>
      <c r="DN152" s="8"/>
      <c r="DO152" s="8"/>
      <c r="DP152" s="8"/>
      <c r="DQ152" s="8"/>
      <c r="DR152" s="8"/>
      <c r="DS152" s="8"/>
      <c r="DT152" s="59" t="str">
        <f t="shared" si="366"/>
        <v>SEM 29</v>
      </c>
      <c r="DU152" s="59" t="str">
        <f t="shared" si="367"/>
        <v>SEM 31</v>
      </c>
      <c r="DV152" s="59" t="str">
        <f t="shared" si="368"/>
        <v>NA</v>
      </c>
      <c r="DW152" s="59" t="str">
        <f t="shared" si="369"/>
        <v>NA</v>
      </c>
      <c r="DX152" s="59" t="str">
        <f t="shared" si="370"/>
        <v>NA</v>
      </c>
      <c r="DY152" s="59" t="str">
        <f t="shared" si="371"/>
        <v>NA</v>
      </c>
      <c r="DZ152" s="59" t="str">
        <f t="shared" si="372"/>
        <v>NA</v>
      </c>
      <c r="EA152" s="59" t="str">
        <f t="shared" si="373"/>
        <v>NA</v>
      </c>
      <c r="EB152" s="59" t="str">
        <f t="shared" si="374"/>
        <v>NA</v>
      </c>
      <c r="EC152" s="59" t="str">
        <f t="shared" si="375"/>
        <v>NA</v>
      </c>
      <c r="ED152" s="59" t="str">
        <f t="shared" si="376"/>
        <v>JUL</v>
      </c>
      <c r="EE152" s="59" t="str">
        <f t="shared" si="377"/>
        <v>JUL</v>
      </c>
      <c r="EF152" s="59" t="str">
        <f t="shared" si="378"/>
        <v/>
      </c>
      <c r="EG152" s="59" t="str">
        <f t="shared" si="379"/>
        <v/>
      </c>
      <c r="EH152" s="59" t="str">
        <f t="shared" si="380"/>
        <v/>
      </c>
      <c r="EI152" s="59" t="str">
        <f t="shared" si="381"/>
        <v/>
      </c>
      <c r="EJ152" s="59" t="str">
        <f t="shared" si="382"/>
        <v/>
      </c>
      <c r="EK152" s="59" t="str">
        <f t="shared" si="383"/>
        <v/>
      </c>
      <c r="EL152" s="59" t="str">
        <f t="shared" si="384"/>
        <v/>
      </c>
      <c r="EM152" s="59" t="str">
        <f t="shared" si="385"/>
        <v/>
      </c>
      <c r="EN152" s="59">
        <f t="shared" si="386"/>
        <v>2012</v>
      </c>
      <c r="EO152" s="59">
        <f t="shared" si="387"/>
        <v>2012</v>
      </c>
      <c r="EP152" s="59" t="str">
        <f t="shared" si="388"/>
        <v/>
      </c>
      <c r="EQ152" s="59" t="str">
        <f t="shared" si="389"/>
        <v/>
      </c>
      <c r="ER152" s="59" t="str">
        <f t="shared" si="390"/>
        <v/>
      </c>
      <c r="ES152" s="59" t="str">
        <f t="shared" si="391"/>
        <v/>
      </c>
      <c r="ET152" s="59" t="str">
        <f t="shared" si="392"/>
        <v/>
      </c>
      <c r="EU152" s="59" t="str">
        <f t="shared" si="393"/>
        <v/>
      </c>
      <c r="EV152" s="59" t="str">
        <f t="shared" si="394"/>
        <v/>
      </c>
      <c r="EW152" s="59" t="str">
        <f t="shared" si="395"/>
        <v/>
      </c>
      <c r="EX152" s="56">
        <f t="shared" si="351"/>
        <v>1069000</v>
      </c>
    </row>
    <row r="153" spans="1:154" x14ac:dyDescent="0.25">
      <c r="A153" s="2">
        <f t="shared" si="396"/>
        <v>152</v>
      </c>
      <c r="B153" s="2" t="s">
        <v>6</v>
      </c>
      <c r="C153" s="2" t="str">
        <f t="shared" si="352"/>
        <v>020915</v>
      </c>
      <c r="D153" s="2">
        <v>2</v>
      </c>
      <c r="E153" s="2">
        <v>9</v>
      </c>
      <c r="F153" s="2">
        <v>15</v>
      </c>
      <c r="G153" s="11" t="s">
        <v>17</v>
      </c>
      <c r="H153" s="4"/>
      <c r="I153" s="42" t="s">
        <v>60</v>
      </c>
      <c r="J153" s="9">
        <v>81.311000000000007</v>
      </c>
      <c r="K153" s="9"/>
      <c r="L153" s="10" t="s">
        <v>8</v>
      </c>
      <c r="M153" s="22" t="s">
        <v>176</v>
      </c>
      <c r="N153" s="7">
        <f t="shared" si="397"/>
        <v>1139981.8</v>
      </c>
      <c r="O153" s="8">
        <v>191</v>
      </c>
      <c r="P153" s="25">
        <v>41136</v>
      </c>
      <c r="Q153" s="8" t="str">
        <f t="shared" si="353"/>
        <v>2DA-AGO</v>
      </c>
      <c r="R153" s="26">
        <v>0.9</v>
      </c>
      <c r="S153" s="41" t="s">
        <v>33</v>
      </c>
      <c r="T153" s="8" t="s">
        <v>352</v>
      </c>
      <c r="U153" s="25">
        <v>41061</v>
      </c>
      <c r="V153" s="7">
        <v>569990.9</v>
      </c>
      <c r="W153" s="7">
        <f t="shared" si="424"/>
        <v>450292.81100000005</v>
      </c>
      <c r="X153" s="7">
        <f t="shared" si="355"/>
        <v>0</v>
      </c>
      <c r="Y153" s="7">
        <v>450292.81100000005</v>
      </c>
      <c r="Z153" s="7">
        <f t="shared" si="356"/>
        <v>0</v>
      </c>
      <c r="AA153" s="148" t="str">
        <f t="shared" si="357"/>
        <v>80%</v>
      </c>
      <c r="AB153" s="148">
        <f t="shared" si="358"/>
        <v>0.19999999999999996</v>
      </c>
      <c r="AC153" s="25">
        <f ca="1">TODAY()-50</f>
        <v>41072</v>
      </c>
      <c r="AD153" s="25">
        <f t="shared" ref="AD153:AE153" ca="1" si="448">TODAY()-50</f>
        <v>41072</v>
      </c>
      <c r="AE153" s="25">
        <f t="shared" ca="1" si="448"/>
        <v>41072</v>
      </c>
      <c r="AF153" s="25">
        <v>41049</v>
      </c>
      <c r="AG153" s="59" t="str">
        <f t="shared" ca="1" si="360"/>
        <v>MAYOR A 2 MESES</v>
      </c>
      <c r="AH153" s="55" t="s">
        <v>130</v>
      </c>
      <c r="AI153" s="55"/>
      <c r="AJ153" s="55"/>
      <c r="AK153" s="55"/>
      <c r="AL153" s="55"/>
      <c r="AM153" s="55"/>
      <c r="AN153" s="8"/>
      <c r="AO153" s="8">
        <v>6588464</v>
      </c>
      <c r="AP153" s="8">
        <v>321</v>
      </c>
      <c r="AQ153" s="8">
        <v>312</v>
      </c>
      <c r="AR153" s="59" t="str">
        <f t="shared" si="409"/>
        <v>SEM 21</v>
      </c>
      <c r="AS153" s="59" t="str">
        <f t="shared" si="410"/>
        <v>MAY</v>
      </c>
      <c r="AT153" s="59">
        <v>23000</v>
      </c>
      <c r="AU153" s="59" t="str">
        <f t="shared" si="337"/>
        <v>ENTRE 18 Y 25 MIL</v>
      </c>
      <c r="AV153" s="66" t="s">
        <v>148</v>
      </c>
      <c r="AW153" s="66" t="s">
        <v>38</v>
      </c>
      <c r="AX153" s="66" t="s">
        <v>85</v>
      </c>
      <c r="AY153" s="66" t="s">
        <v>174</v>
      </c>
      <c r="AZ153" s="25">
        <v>41059</v>
      </c>
      <c r="BA153" s="8" t="s">
        <v>66</v>
      </c>
      <c r="BB153" s="25">
        <v>41061</v>
      </c>
      <c r="BC153" s="25">
        <v>41141</v>
      </c>
      <c r="BD153" s="25">
        <v>41075</v>
      </c>
      <c r="BE153" s="25"/>
      <c r="BF153" s="8"/>
      <c r="BG153" s="8"/>
      <c r="BH153" s="8"/>
      <c r="BI153" s="8">
        <v>130</v>
      </c>
      <c r="BJ153" s="8"/>
      <c r="BK153" s="59" t="s">
        <v>371</v>
      </c>
      <c r="BL153" s="59" t="s">
        <v>371</v>
      </c>
      <c r="BM153" s="59" t="s">
        <v>378</v>
      </c>
      <c r="BN153" s="164">
        <v>0.01</v>
      </c>
      <c r="BO153" s="165">
        <f t="shared" si="361"/>
        <v>3799.9393333333337</v>
      </c>
      <c r="BP153" s="165">
        <f t="shared" ref="BP153:BQ153" si="449">BO153</f>
        <v>3799.9393333333337</v>
      </c>
      <c r="BQ153" s="165">
        <f t="shared" si="449"/>
        <v>3799.9393333333337</v>
      </c>
      <c r="BR153" s="162">
        <v>41075</v>
      </c>
      <c r="BS153" s="162">
        <v>41090</v>
      </c>
      <c r="BT153" s="59"/>
      <c r="BU153" s="59"/>
      <c r="BV153" s="59" t="str">
        <f t="shared" si="402"/>
        <v>2DA-JUN-2012</v>
      </c>
      <c r="BW153" s="59" t="str">
        <f t="shared" si="403"/>
        <v>2DA-JUN-2012</v>
      </c>
      <c r="BX153" s="59" t="str">
        <f t="shared" si="404"/>
        <v>ND</v>
      </c>
      <c r="BY153" s="59" t="str">
        <f t="shared" si="405"/>
        <v>ND</v>
      </c>
      <c r="BZ153" s="59" t="str">
        <f t="shared" si="339"/>
        <v>SEM 22</v>
      </c>
      <c r="CA153" s="59" t="str">
        <f t="shared" si="340"/>
        <v>MAY</v>
      </c>
      <c r="CB153" s="59" t="str">
        <f t="shared" si="341"/>
        <v>NA</v>
      </c>
      <c r="CC153" s="59" t="str">
        <f t="shared" si="342"/>
        <v/>
      </c>
      <c r="CD153" s="59" t="str">
        <f t="shared" si="343"/>
        <v>NA</v>
      </c>
      <c r="CE153" s="59" t="str">
        <f t="shared" si="344"/>
        <v/>
      </c>
      <c r="CF153" s="59" t="str">
        <f t="shared" si="345"/>
        <v>2DA-AGO</v>
      </c>
      <c r="CG153" s="59" t="str">
        <f t="shared" ca="1" si="346"/>
        <v>MAYOR A 2 MESES</v>
      </c>
      <c r="CH153" s="59" t="str">
        <f t="shared" ca="1" si="347"/>
        <v>NA</v>
      </c>
      <c r="CI153" s="59" t="str">
        <f t="shared" ca="1" si="348"/>
        <v>MAYOR A 45 DIAS</v>
      </c>
      <c r="CJ153" s="59" t="str">
        <f t="shared" ca="1" si="349"/>
        <v>MAYOR A 45 DIAS</v>
      </c>
      <c r="CK153" s="59" t="str">
        <f t="shared" ca="1" si="350"/>
        <v>MAYOR A 45 DIAS</v>
      </c>
      <c r="CL153" s="8">
        <v>50000</v>
      </c>
      <c r="CM153" s="8">
        <v>10000</v>
      </c>
      <c r="CN153" s="8">
        <v>17000</v>
      </c>
      <c r="CO153" s="8"/>
      <c r="CP153" s="8"/>
      <c r="CQ153" s="8"/>
      <c r="CR153" s="8"/>
      <c r="CS153" s="8"/>
      <c r="CT153" s="8"/>
      <c r="CU153" s="8"/>
      <c r="CV153" s="8"/>
      <c r="CW153" s="8" t="s">
        <v>251</v>
      </c>
      <c r="CX153" s="8" t="s">
        <v>251</v>
      </c>
      <c r="CY153" s="8"/>
      <c r="CZ153" s="8"/>
      <c r="DA153" s="8"/>
      <c r="DB153" s="8"/>
      <c r="DC153" s="8"/>
      <c r="DD153" s="8"/>
      <c r="DE153" s="8"/>
      <c r="DF153" s="8"/>
      <c r="DG153" s="8">
        <f t="shared" si="363"/>
        <v>0</v>
      </c>
      <c r="DH153" s="8">
        <f t="shared" si="364"/>
        <v>0</v>
      </c>
      <c r="DI153" s="8">
        <f t="shared" si="365"/>
        <v>27000</v>
      </c>
      <c r="DJ153" s="25">
        <f>+AZ153+15</f>
        <v>41074</v>
      </c>
      <c r="DK153" s="25">
        <f>+DJ153+15</f>
        <v>41089</v>
      </c>
      <c r="DL153" s="8"/>
      <c r="DM153" s="8"/>
      <c r="DN153" s="8"/>
      <c r="DO153" s="8"/>
      <c r="DP153" s="8"/>
      <c r="DQ153" s="8"/>
      <c r="DR153" s="8"/>
      <c r="DS153" s="8"/>
      <c r="DT153" s="59" t="str">
        <f t="shared" si="366"/>
        <v>SEM 24</v>
      </c>
      <c r="DU153" s="59" t="str">
        <f t="shared" si="367"/>
        <v>SEM 26</v>
      </c>
      <c r="DV153" s="59" t="str">
        <f t="shared" si="368"/>
        <v>NA</v>
      </c>
      <c r="DW153" s="59" t="str">
        <f t="shared" si="369"/>
        <v>NA</v>
      </c>
      <c r="DX153" s="59" t="str">
        <f t="shared" si="370"/>
        <v>NA</v>
      </c>
      <c r="DY153" s="59" t="str">
        <f t="shared" si="371"/>
        <v>NA</v>
      </c>
      <c r="DZ153" s="59" t="str">
        <f t="shared" si="372"/>
        <v>NA</v>
      </c>
      <c r="EA153" s="59" t="str">
        <f t="shared" si="373"/>
        <v>NA</v>
      </c>
      <c r="EB153" s="59" t="str">
        <f t="shared" si="374"/>
        <v>NA</v>
      </c>
      <c r="EC153" s="59" t="str">
        <f t="shared" si="375"/>
        <v>NA</v>
      </c>
      <c r="ED153" s="59" t="str">
        <f t="shared" si="376"/>
        <v>JUN</v>
      </c>
      <c r="EE153" s="59" t="str">
        <f t="shared" si="377"/>
        <v>JUN</v>
      </c>
      <c r="EF153" s="59" t="str">
        <f t="shared" si="378"/>
        <v/>
      </c>
      <c r="EG153" s="59" t="str">
        <f t="shared" si="379"/>
        <v/>
      </c>
      <c r="EH153" s="59" t="str">
        <f t="shared" si="380"/>
        <v/>
      </c>
      <c r="EI153" s="59" t="str">
        <f t="shared" si="381"/>
        <v/>
      </c>
      <c r="EJ153" s="59" t="str">
        <f t="shared" si="382"/>
        <v/>
      </c>
      <c r="EK153" s="59" t="str">
        <f t="shared" si="383"/>
        <v/>
      </c>
      <c r="EL153" s="59" t="str">
        <f t="shared" si="384"/>
        <v/>
      </c>
      <c r="EM153" s="59" t="str">
        <f t="shared" si="385"/>
        <v/>
      </c>
      <c r="EN153" s="59">
        <f t="shared" si="386"/>
        <v>2012</v>
      </c>
      <c r="EO153" s="59">
        <f t="shared" si="387"/>
        <v>2012</v>
      </c>
      <c r="EP153" s="59" t="str">
        <f t="shared" si="388"/>
        <v/>
      </c>
      <c r="EQ153" s="59" t="str">
        <f t="shared" si="389"/>
        <v/>
      </c>
      <c r="ER153" s="59" t="str">
        <f t="shared" si="390"/>
        <v/>
      </c>
      <c r="ES153" s="59" t="str">
        <f t="shared" si="391"/>
        <v/>
      </c>
      <c r="ET153" s="59" t="str">
        <f t="shared" si="392"/>
        <v/>
      </c>
      <c r="EU153" s="59" t="str">
        <f t="shared" si="393"/>
        <v/>
      </c>
      <c r="EV153" s="59" t="str">
        <f t="shared" si="394"/>
        <v/>
      </c>
      <c r="EW153" s="59" t="str">
        <f t="shared" si="395"/>
        <v/>
      </c>
      <c r="EX153" s="56">
        <f t="shared" si="351"/>
        <v>1062981.8</v>
      </c>
    </row>
    <row r="154" spans="1:154" x14ac:dyDescent="0.25">
      <c r="A154" s="2">
        <f t="shared" si="396"/>
        <v>153</v>
      </c>
      <c r="B154" s="2" t="s">
        <v>6</v>
      </c>
      <c r="C154" s="2" t="str">
        <f t="shared" si="352"/>
        <v>021001</v>
      </c>
      <c r="D154" s="2">
        <v>2</v>
      </c>
      <c r="E154" s="2">
        <v>10</v>
      </c>
      <c r="F154" s="2">
        <v>1</v>
      </c>
      <c r="G154" s="11" t="s">
        <v>18</v>
      </c>
      <c r="H154" s="4"/>
      <c r="I154" s="42" t="s">
        <v>58</v>
      </c>
      <c r="J154" s="9">
        <v>81.188000000000002</v>
      </c>
      <c r="K154" s="9"/>
      <c r="L154" s="10" t="s">
        <v>8</v>
      </c>
      <c r="M154" s="23" t="s">
        <v>177</v>
      </c>
      <c r="N154" s="7">
        <f t="shared" si="397"/>
        <v>1139514.3999999999</v>
      </c>
      <c r="O154" s="8">
        <v>192</v>
      </c>
      <c r="P154" s="25">
        <v>41212</v>
      </c>
      <c r="Q154" s="8" t="str">
        <f t="shared" si="353"/>
        <v>2DA-OCT</v>
      </c>
      <c r="R154" s="26">
        <v>0.1</v>
      </c>
      <c r="S154" s="41" t="s">
        <v>34</v>
      </c>
      <c r="T154" s="8" t="s">
        <v>353</v>
      </c>
      <c r="U154" s="8"/>
      <c r="V154" s="7">
        <v>569757.19999999995</v>
      </c>
      <c r="W154" s="7">
        <f>+V154*0.05</f>
        <v>28487.86</v>
      </c>
      <c r="X154" s="7">
        <f t="shared" si="355"/>
        <v>541269.34</v>
      </c>
      <c r="Y154" s="7">
        <v>0</v>
      </c>
      <c r="Z154" s="7">
        <f t="shared" si="356"/>
        <v>28487.86</v>
      </c>
      <c r="AA154" s="148" t="str">
        <f t="shared" si="357"/>
        <v>5%</v>
      </c>
      <c r="AB154" s="148">
        <f t="shared" si="358"/>
        <v>0.95</v>
      </c>
      <c r="AC154" s="25">
        <f ca="1">TODAY()-4</f>
        <v>41118</v>
      </c>
      <c r="AD154" s="25">
        <f t="shared" ref="AD154:AE154" ca="1" si="450">TODAY()-4</f>
        <v>41118</v>
      </c>
      <c r="AE154" s="25">
        <f t="shared" ca="1" si="450"/>
        <v>41118</v>
      </c>
      <c r="AF154" s="8"/>
      <c r="AG154" s="59" t="str">
        <f t="shared" ca="1" si="360"/>
        <v>NA</v>
      </c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59" t="str">
        <f t="shared" si="409"/>
        <v>NA</v>
      </c>
      <c r="AS154" s="59" t="str">
        <f t="shared" si="410"/>
        <v/>
      </c>
      <c r="AT154" s="59"/>
      <c r="AU154" s="59" t="str">
        <f t="shared" si="337"/>
        <v>ND</v>
      </c>
      <c r="AV154" s="66"/>
      <c r="AW154" s="66"/>
      <c r="AX154" s="66"/>
      <c r="AY154" s="66"/>
      <c r="AZ154" s="8"/>
      <c r="BA154" s="8" t="s">
        <v>37</v>
      </c>
      <c r="BB154" s="8"/>
      <c r="BC154" s="8"/>
      <c r="BD154" s="8"/>
      <c r="BE154" s="8"/>
      <c r="BF154" s="8"/>
      <c r="BG154" s="8"/>
      <c r="BH154" s="8"/>
      <c r="BI154" s="8"/>
      <c r="BJ154" s="8"/>
      <c r="BK154" s="59"/>
      <c r="BL154" s="59"/>
      <c r="BM154" s="59"/>
      <c r="BN154" s="164">
        <v>0.01</v>
      </c>
      <c r="BO154" s="165">
        <f t="shared" si="361"/>
        <v>3798.3813333333328</v>
      </c>
      <c r="BP154" s="165">
        <f t="shared" ref="BP154:BQ154" si="451">BO154</f>
        <v>3798.3813333333328</v>
      </c>
      <c r="BQ154" s="165">
        <f t="shared" si="451"/>
        <v>3798.3813333333328</v>
      </c>
      <c r="BR154" s="59"/>
      <c r="BS154" s="59"/>
      <c r="BT154" s="59"/>
      <c r="BU154" s="59"/>
      <c r="BV154" s="59" t="str">
        <f t="shared" si="402"/>
        <v>ND</v>
      </c>
      <c r="BW154" s="59" t="str">
        <f t="shared" si="403"/>
        <v>ND</v>
      </c>
      <c r="BX154" s="59" t="str">
        <f t="shared" si="404"/>
        <v>ND</v>
      </c>
      <c r="BY154" s="59" t="str">
        <f t="shared" si="405"/>
        <v>ND</v>
      </c>
      <c r="BZ154" s="59" t="str">
        <f t="shared" si="339"/>
        <v>NA</v>
      </c>
      <c r="CA154" s="59" t="str">
        <f t="shared" si="340"/>
        <v/>
      </c>
      <c r="CB154" s="59" t="str">
        <f t="shared" si="341"/>
        <v>NA</v>
      </c>
      <c r="CC154" s="59" t="str">
        <f t="shared" si="342"/>
        <v/>
      </c>
      <c r="CD154" s="59" t="str">
        <f t="shared" si="343"/>
        <v>NA</v>
      </c>
      <c r="CE154" s="59" t="str">
        <f t="shared" si="344"/>
        <v/>
      </c>
      <c r="CF154" s="59" t="str">
        <f t="shared" si="345"/>
        <v>NA</v>
      </c>
      <c r="CG154" s="59" t="str">
        <f t="shared" ca="1" si="346"/>
        <v>NA</v>
      </c>
      <c r="CH154" s="59" t="str">
        <f t="shared" ca="1" si="347"/>
        <v>NA</v>
      </c>
      <c r="CI154" s="59" t="str">
        <f t="shared" ca="1" si="348"/>
        <v>HASTA 5 DIAS</v>
      </c>
      <c r="CJ154" s="59" t="str">
        <f t="shared" ca="1" si="349"/>
        <v>HASTA 5 DIAS</v>
      </c>
      <c r="CK154" s="59" t="str">
        <f t="shared" ca="1" si="350"/>
        <v>HASTA 5 DIAS</v>
      </c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>
        <f t="shared" si="363"/>
        <v>0</v>
      </c>
      <c r="DH154" s="8">
        <f t="shared" si="364"/>
        <v>0</v>
      </c>
      <c r="DI154" s="8">
        <f t="shared" si="365"/>
        <v>0</v>
      </c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59" t="str">
        <f t="shared" si="366"/>
        <v>NA</v>
      </c>
      <c r="DU154" s="59" t="str">
        <f t="shared" si="367"/>
        <v>NA</v>
      </c>
      <c r="DV154" s="59" t="str">
        <f t="shared" si="368"/>
        <v>NA</v>
      </c>
      <c r="DW154" s="59" t="str">
        <f t="shared" si="369"/>
        <v>NA</v>
      </c>
      <c r="DX154" s="59" t="str">
        <f t="shared" si="370"/>
        <v>NA</v>
      </c>
      <c r="DY154" s="59" t="str">
        <f t="shared" si="371"/>
        <v>NA</v>
      </c>
      <c r="DZ154" s="59" t="str">
        <f t="shared" si="372"/>
        <v>NA</v>
      </c>
      <c r="EA154" s="59" t="str">
        <f t="shared" si="373"/>
        <v>NA</v>
      </c>
      <c r="EB154" s="59" t="str">
        <f t="shared" si="374"/>
        <v>NA</v>
      </c>
      <c r="EC154" s="59" t="str">
        <f t="shared" si="375"/>
        <v>NA</v>
      </c>
      <c r="ED154" s="59" t="str">
        <f t="shared" si="376"/>
        <v/>
      </c>
      <c r="EE154" s="59" t="str">
        <f t="shared" si="377"/>
        <v/>
      </c>
      <c r="EF154" s="59" t="str">
        <f t="shared" si="378"/>
        <v/>
      </c>
      <c r="EG154" s="59" t="str">
        <f t="shared" si="379"/>
        <v/>
      </c>
      <c r="EH154" s="59" t="str">
        <f t="shared" si="380"/>
        <v/>
      </c>
      <c r="EI154" s="59" t="str">
        <f t="shared" si="381"/>
        <v/>
      </c>
      <c r="EJ154" s="59" t="str">
        <f t="shared" si="382"/>
        <v/>
      </c>
      <c r="EK154" s="59" t="str">
        <f t="shared" si="383"/>
        <v/>
      </c>
      <c r="EL154" s="59" t="str">
        <f t="shared" si="384"/>
        <v/>
      </c>
      <c r="EM154" s="59" t="str">
        <f t="shared" si="385"/>
        <v/>
      </c>
      <c r="EN154" s="59" t="str">
        <f t="shared" si="386"/>
        <v/>
      </c>
      <c r="EO154" s="59" t="str">
        <f t="shared" si="387"/>
        <v/>
      </c>
      <c r="EP154" s="59" t="str">
        <f t="shared" si="388"/>
        <v/>
      </c>
      <c r="EQ154" s="59" t="str">
        <f t="shared" si="389"/>
        <v/>
      </c>
      <c r="ER154" s="59" t="str">
        <f t="shared" si="390"/>
        <v/>
      </c>
      <c r="ES154" s="59" t="str">
        <f t="shared" si="391"/>
        <v/>
      </c>
      <c r="ET154" s="59" t="str">
        <f t="shared" si="392"/>
        <v/>
      </c>
      <c r="EU154" s="59" t="str">
        <f t="shared" si="393"/>
        <v/>
      </c>
      <c r="EV154" s="59" t="str">
        <f t="shared" si="394"/>
        <v/>
      </c>
      <c r="EW154" s="59" t="str">
        <f t="shared" si="395"/>
        <v/>
      </c>
      <c r="EX154" s="56">
        <f t="shared" si="351"/>
        <v>1139514.3999999999</v>
      </c>
    </row>
    <row r="155" spans="1:154" x14ac:dyDescent="0.25">
      <c r="A155" s="2">
        <f t="shared" si="396"/>
        <v>154</v>
      </c>
      <c r="B155" s="2" t="s">
        <v>6</v>
      </c>
      <c r="C155" s="2" t="str">
        <f t="shared" si="352"/>
        <v>021002</v>
      </c>
      <c r="D155" s="2">
        <v>2</v>
      </c>
      <c r="E155" s="2">
        <v>10</v>
      </c>
      <c r="F155" s="2">
        <v>2</v>
      </c>
      <c r="G155" s="11" t="s">
        <v>18</v>
      </c>
      <c r="H155" s="4"/>
      <c r="I155" s="42" t="s">
        <v>58</v>
      </c>
      <c r="J155" s="9">
        <v>80</v>
      </c>
      <c r="K155" s="5"/>
      <c r="L155" s="6" t="s">
        <v>306</v>
      </c>
      <c r="M155" s="23" t="s">
        <v>177</v>
      </c>
      <c r="N155" s="7">
        <f t="shared" si="397"/>
        <v>1126000</v>
      </c>
      <c r="O155" s="8">
        <v>193</v>
      </c>
      <c r="P155" s="25">
        <v>41212</v>
      </c>
      <c r="Q155" s="8" t="str">
        <f t="shared" si="353"/>
        <v>2DA-OCT</v>
      </c>
      <c r="R155" s="26">
        <v>0.1</v>
      </c>
      <c r="S155" s="41" t="s">
        <v>34</v>
      </c>
      <c r="T155" s="8" t="s">
        <v>353</v>
      </c>
      <c r="U155" s="8"/>
      <c r="V155" s="7">
        <v>563000</v>
      </c>
      <c r="W155" s="7">
        <f t="shared" ref="W155:W165" si="452">+V155*0.05</f>
        <v>28150</v>
      </c>
      <c r="X155" s="7">
        <f t="shared" si="355"/>
        <v>534850</v>
      </c>
      <c r="Y155" s="7">
        <v>0</v>
      </c>
      <c r="Z155" s="7">
        <f t="shared" si="356"/>
        <v>28150</v>
      </c>
      <c r="AA155" s="148" t="str">
        <f t="shared" si="357"/>
        <v>5%</v>
      </c>
      <c r="AB155" s="148">
        <f t="shared" si="358"/>
        <v>0.95</v>
      </c>
      <c r="AC155" s="25">
        <f ca="1">TODAY()-9</f>
        <v>41113</v>
      </c>
      <c r="AD155" s="25">
        <f t="shared" ref="AD155:AE155" ca="1" si="453">TODAY()-9</f>
        <v>41113</v>
      </c>
      <c r="AE155" s="25">
        <f t="shared" ca="1" si="453"/>
        <v>41113</v>
      </c>
      <c r="AF155" s="8"/>
      <c r="AG155" s="59" t="str">
        <f t="shared" ca="1" si="360"/>
        <v>NA</v>
      </c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59" t="str">
        <f t="shared" si="409"/>
        <v>NA</v>
      </c>
      <c r="AS155" s="59" t="str">
        <f t="shared" si="410"/>
        <v/>
      </c>
      <c r="AT155" s="59"/>
      <c r="AU155" s="59" t="str">
        <f t="shared" si="337"/>
        <v>ND</v>
      </c>
      <c r="AV155" s="66"/>
      <c r="AW155" s="66"/>
      <c r="AX155" s="66"/>
      <c r="AY155" s="66"/>
      <c r="AZ155" s="8"/>
      <c r="BA155" s="8" t="s">
        <v>37</v>
      </c>
      <c r="BB155" s="8"/>
      <c r="BC155" s="8"/>
      <c r="BD155" s="8"/>
      <c r="BE155" s="8"/>
      <c r="BF155" s="8"/>
      <c r="BG155" s="8"/>
      <c r="BH155" s="8"/>
      <c r="BI155" s="8"/>
      <c r="BJ155" s="8"/>
      <c r="BK155" s="59"/>
      <c r="BL155" s="59"/>
      <c r="BM155" s="59"/>
      <c r="BN155" s="164">
        <v>0.01</v>
      </c>
      <c r="BO155" s="165">
        <f t="shared" si="361"/>
        <v>3753.3333333333335</v>
      </c>
      <c r="BP155" s="165">
        <f t="shared" ref="BP155:BQ155" si="454">BO155</f>
        <v>3753.3333333333335</v>
      </c>
      <c r="BQ155" s="165">
        <f t="shared" si="454"/>
        <v>3753.3333333333335</v>
      </c>
      <c r="BR155" s="59"/>
      <c r="BS155" s="59"/>
      <c r="BT155" s="59"/>
      <c r="BU155" s="59"/>
      <c r="BV155" s="59" t="str">
        <f t="shared" si="402"/>
        <v>ND</v>
      </c>
      <c r="BW155" s="59" t="str">
        <f t="shared" si="403"/>
        <v>ND</v>
      </c>
      <c r="BX155" s="59" t="str">
        <f t="shared" si="404"/>
        <v>ND</v>
      </c>
      <c r="BY155" s="59" t="str">
        <f t="shared" si="405"/>
        <v>ND</v>
      </c>
      <c r="BZ155" s="59" t="str">
        <f t="shared" si="339"/>
        <v>NA</v>
      </c>
      <c r="CA155" s="59" t="str">
        <f t="shared" si="340"/>
        <v/>
      </c>
      <c r="CB155" s="59" t="str">
        <f t="shared" si="341"/>
        <v>NA</v>
      </c>
      <c r="CC155" s="59" t="str">
        <f t="shared" si="342"/>
        <v/>
      </c>
      <c r="CD155" s="59" t="str">
        <f t="shared" si="343"/>
        <v>NA</v>
      </c>
      <c r="CE155" s="59" t="str">
        <f t="shared" si="344"/>
        <v/>
      </c>
      <c r="CF155" s="59" t="str">
        <f t="shared" si="345"/>
        <v>NA</v>
      </c>
      <c r="CG155" s="59" t="str">
        <f t="shared" ca="1" si="346"/>
        <v>NA</v>
      </c>
      <c r="CH155" s="59" t="str">
        <f t="shared" ca="1" si="347"/>
        <v>NA</v>
      </c>
      <c r="CI155" s="59" t="str">
        <f t="shared" ca="1" si="348"/>
        <v>DE 6 A 10 DIAS</v>
      </c>
      <c r="CJ155" s="59" t="str">
        <f t="shared" ca="1" si="349"/>
        <v>DE 6 A 10 DIAS</v>
      </c>
      <c r="CK155" s="59" t="str">
        <f t="shared" ca="1" si="350"/>
        <v>DE 6 A 10 DIAS</v>
      </c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>
        <f t="shared" si="363"/>
        <v>0</v>
      </c>
      <c r="DH155" s="8">
        <f t="shared" si="364"/>
        <v>0</v>
      </c>
      <c r="DI155" s="8">
        <f t="shared" si="365"/>
        <v>0</v>
      </c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59" t="str">
        <f t="shared" si="366"/>
        <v>NA</v>
      </c>
      <c r="DU155" s="59" t="str">
        <f t="shared" si="367"/>
        <v>NA</v>
      </c>
      <c r="DV155" s="59" t="str">
        <f t="shared" si="368"/>
        <v>NA</v>
      </c>
      <c r="DW155" s="59" t="str">
        <f t="shared" si="369"/>
        <v>NA</v>
      </c>
      <c r="DX155" s="59" t="str">
        <f t="shared" si="370"/>
        <v>NA</v>
      </c>
      <c r="DY155" s="59" t="str">
        <f t="shared" si="371"/>
        <v>NA</v>
      </c>
      <c r="DZ155" s="59" t="str">
        <f t="shared" si="372"/>
        <v>NA</v>
      </c>
      <c r="EA155" s="59" t="str">
        <f t="shared" si="373"/>
        <v>NA</v>
      </c>
      <c r="EB155" s="59" t="str">
        <f t="shared" si="374"/>
        <v>NA</v>
      </c>
      <c r="EC155" s="59" t="str">
        <f t="shared" si="375"/>
        <v>NA</v>
      </c>
      <c r="ED155" s="59" t="str">
        <f t="shared" si="376"/>
        <v/>
      </c>
      <c r="EE155" s="59" t="str">
        <f t="shared" si="377"/>
        <v/>
      </c>
      <c r="EF155" s="59" t="str">
        <f t="shared" si="378"/>
        <v/>
      </c>
      <c r="EG155" s="59" t="str">
        <f t="shared" si="379"/>
        <v/>
      </c>
      <c r="EH155" s="59" t="str">
        <f t="shared" si="380"/>
        <v/>
      </c>
      <c r="EI155" s="59" t="str">
        <f t="shared" si="381"/>
        <v/>
      </c>
      <c r="EJ155" s="59" t="str">
        <f t="shared" si="382"/>
        <v/>
      </c>
      <c r="EK155" s="59" t="str">
        <f t="shared" si="383"/>
        <v/>
      </c>
      <c r="EL155" s="59" t="str">
        <f t="shared" si="384"/>
        <v/>
      </c>
      <c r="EM155" s="59" t="str">
        <f t="shared" si="385"/>
        <v/>
      </c>
      <c r="EN155" s="59" t="str">
        <f t="shared" si="386"/>
        <v/>
      </c>
      <c r="EO155" s="59" t="str">
        <f t="shared" si="387"/>
        <v/>
      </c>
      <c r="EP155" s="59" t="str">
        <f t="shared" si="388"/>
        <v/>
      </c>
      <c r="EQ155" s="59" t="str">
        <f t="shared" si="389"/>
        <v/>
      </c>
      <c r="ER155" s="59" t="str">
        <f t="shared" si="390"/>
        <v/>
      </c>
      <c r="ES155" s="59" t="str">
        <f t="shared" si="391"/>
        <v/>
      </c>
      <c r="ET155" s="59" t="str">
        <f t="shared" si="392"/>
        <v/>
      </c>
      <c r="EU155" s="59" t="str">
        <f t="shared" si="393"/>
        <v/>
      </c>
      <c r="EV155" s="59" t="str">
        <f t="shared" si="394"/>
        <v/>
      </c>
      <c r="EW155" s="59" t="str">
        <f t="shared" si="395"/>
        <v/>
      </c>
      <c r="EX155" s="56">
        <f t="shared" si="351"/>
        <v>1126000</v>
      </c>
    </row>
    <row r="156" spans="1:154" x14ac:dyDescent="0.25">
      <c r="A156" s="2">
        <f t="shared" si="396"/>
        <v>155</v>
      </c>
      <c r="B156" s="2" t="s">
        <v>6</v>
      </c>
      <c r="C156" s="2" t="str">
        <f t="shared" si="352"/>
        <v>021003</v>
      </c>
      <c r="D156" s="2">
        <v>2</v>
      </c>
      <c r="E156" s="2">
        <v>10</v>
      </c>
      <c r="F156" s="2">
        <v>3</v>
      </c>
      <c r="G156" s="11" t="s">
        <v>18</v>
      </c>
      <c r="H156" s="4"/>
      <c r="I156" s="42" t="s">
        <v>58</v>
      </c>
      <c r="J156" s="9">
        <v>80</v>
      </c>
      <c r="K156" s="5"/>
      <c r="L156" s="6" t="s">
        <v>306</v>
      </c>
      <c r="M156" s="23" t="s">
        <v>177</v>
      </c>
      <c r="N156" s="7">
        <f t="shared" si="397"/>
        <v>1126000</v>
      </c>
      <c r="O156" s="8">
        <v>194</v>
      </c>
      <c r="P156" s="25">
        <v>41212</v>
      </c>
      <c r="Q156" s="8" t="str">
        <f t="shared" si="353"/>
        <v>2DA-OCT</v>
      </c>
      <c r="R156" s="26">
        <v>0.1</v>
      </c>
      <c r="S156" s="41" t="s">
        <v>34</v>
      </c>
      <c r="T156" s="8" t="s">
        <v>353</v>
      </c>
      <c r="U156" s="8"/>
      <c r="V156" s="7">
        <v>563000</v>
      </c>
      <c r="W156" s="7">
        <f t="shared" si="452"/>
        <v>28150</v>
      </c>
      <c r="X156" s="7">
        <f t="shared" si="355"/>
        <v>534850</v>
      </c>
      <c r="Y156" s="7">
        <v>0</v>
      </c>
      <c r="Z156" s="7">
        <f t="shared" si="356"/>
        <v>28150</v>
      </c>
      <c r="AA156" s="148" t="str">
        <f t="shared" si="357"/>
        <v>5%</v>
      </c>
      <c r="AB156" s="148">
        <f t="shared" si="358"/>
        <v>0.95</v>
      </c>
      <c r="AC156" s="25">
        <f ca="1">TODAY()-14</f>
        <v>41108</v>
      </c>
      <c r="AD156" s="25">
        <f t="shared" ref="AD156:AE156" ca="1" si="455">TODAY()-14</f>
        <v>41108</v>
      </c>
      <c r="AE156" s="25">
        <f t="shared" ca="1" si="455"/>
        <v>41108</v>
      </c>
      <c r="AF156" s="8"/>
      <c r="AG156" s="59" t="str">
        <f t="shared" ca="1" si="360"/>
        <v>NA</v>
      </c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59" t="str">
        <f t="shared" si="409"/>
        <v>NA</v>
      </c>
      <c r="AS156" s="59" t="str">
        <f t="shared" si="410"/>
        <v/>
      </c>
      <c r="AT156" s="59"/>
      <c r="AU156" s="59" t="str">
        <f t="shared" si="337"/>
        <v>ND</v>
      </c>
      <c r="AV156" s="66"/>
      <c r="AW156" s="66"/>
      <c r="AX156" s="66"/>
      <c r="AY156" s="66"/>
      <c r="AZ156" s="8"/>
      <c r="BA156" s="8" t="s">
        <v>37</v>
      </c>
      <c r="BB156" s="8"/>
      <c r="BC156" s="8"/>
      <c r="BD156" s="8"/>
      <c r="BE156" s="8"/>
      <c r="BF156" s="8"/>
      <c r="BG156" s="8"/>
      <c r="BH156" s="8"/>
      <c r="BI156" s="8"/>
      <c r="BJ156" s="8"/>
      <c r="BK156" s="59"/>
      <c r="BL156" s="59"/>
      <c r="BM156" s="59"/>
      <c r="BN156" s="164">
        <v>0.01</v>
      </c>
      <c r="BO156" s="165">
        <f t="shared" si="361"/>
        <v>3753.3333333333335</v>
      </c>
      <c r="BP156" s="165">
        <f t="shared" ref="BP156:BQ156" si="456">BO156</f>
        <v>3753.3333333333335</v>
      </c>
      <c r="BQ156" s="165">
        <f t="shared" si="456"/>
        <v>3753.3333333333335</v>
      </c>
      <c r="BR156" s="59"/>
      <c r="BS156" s="59"/>
      <c r="BT156" s="59"/>
      <c r="BU156" s="59"/>
      <c r="BV156" s="59" t="str">
        <f t="shared" si="402"/>
        <v>ND</v>
      </c>
      <c r="BW156" s="59" t="str">
        <f t="shared" si="403"/>
        <v>ND</v>
      </c>
      <c r="BX156" s="59" t="str">
        <f t="shared" si="404"/>
        <v>ND</v>
      </c>
      <c r="BY156" s="59" t="str">
        <f t="shared" si="405"/>
        <v>ND</v>
      </c>
      <c r="BZ156" s="59" t="str">
        <f t="shared" si="339"/>
        <v>NA</v>
      </c>
      <c r="CA156" s="59" t="str">
        <f t="shared" si="340"/>
        <v/>
      </c>
      <c r="CB156" s="59" t="str">
        <f t="shared" si="341"/>
        <v>NA</v>
      </c>
      <c r="CC156" s="59" t="str">
        <f t="shared" si="342"/>
        <v/>
      </c>
      <c r="CD156" s="59" t="str">
        <f t="shared" si="343"/>
        <v>NA</v>
      </c>
      <c r="CE156" s="59" t="str">
        <f t="shared" si="344"/>
        <v/>
      </c>
      <c r="CF156" s="59" t="str">
        <f t="shared" si="345"/>
        <v>NA</v>
      </c>
      <c r="CG156" s="59" t="str">
        <f t="shared" ca="1" si="346"/>
        <v>NA</v>
      </c>
      <c r="CH156" s="59" t="str">
        <f t="shared" ca="1" si="347"/>
        <v>NA</v>
      </c>
      <c r="CI156" s="59" t="str">
        <f t="shared" ca="1" si="348"/>
        <v>DE 11 A 15 DIAS</v>
      </c>
      <c r="CJ156" s="59" t="str">
        <f t="shared" ca="1" si="349"/>
        <v>DE 11 A 15 DIAS</v>
      </c>
      <c r="CK156" s="59" t="str">
        <f t="shared" ca="1" si="350"/>
        <v>DE 11 A 15 DIAS</v>
      </c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>
        <f t="shared" si="363"/>
        <v>0</v>
      </c>
      <c r="DH156" s="8">
        <f t="shared" si="364"/>
        <v>0</v>
      </c>
      <c r="DI156" s="8">
        <f t="shared" si="365"/>
        <v>0</v>
      </c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59" t="str">
        <f t="shared" si="366"/>
        <v>NA</v>
      </c>
      <c r="DU156" s="59" t="str">
        <f t="shared" si="367"/>
        <v>NA</v>
      </c>
      <c r="DV156" s="59" t="str">
        <f t="shared" si="368"/>
        <v>NA</v>
      </c>
      <c r="DW156" s="59" t="str">
        <f t="shared" si="369"/>
        <v>NA</v>
      </c>
      <c r="DX156" s="59" t="str">
        <f t="shared" si="370"/>
        <v>NA</v>
      </c>
      <c r="DY156" s="59" t="str">
        <f t="shared" si="371"/>
        <v>NA</v>
      </c>
      <c r="DZ156" s="59" t="str">
        <f t="shared" si="372"/>
        <v>NA</v>
      </c>
      <c r="EA156" s="59" t="str">
        <f t="shared" si="373"/>
        <v>NA</v>
      </c>
      <c r="EB156" s="59" t="str">
        <f t="shared" si="374"/>
        <v>NA</v>
      </c>
      <c r="EC156" s="59" t="str">
        <f t="shared" si="375"/>
        <v>NA</v>
      </c>
      <c r="ED156" s="59" t="str">
        <f t="shared" si="376"/>
        <v/>
      </c>
      <c r="EE156" s="59" t="str">
        <f t="shared" si="377"/>
        <v/>
      </c>
      <c r="EF156" s="59" t="str">
        <f t="shared" si="378"/>
        <v/>
      </c>
      <c r="EG156" s="59" t="str">
        <f t="shared" si="379"/>
        <v/>
      </c>
      <c r="EH156" s="59" t="str">
        <f t="shared" si="380"/>
        <v/>
      </c>
      <c r="EI156" s="59" t="str">
        <f t="shared" si="381"/>
        <v/>
      </c>
      <c r="EJ156" s="59" t="str">
        <f t="shared" si="382"/>
        <v/>
      </c>
      <c r="EK156" s="59" t="str">
        <f t="shared" si="383"/>
        <v/>
      </c>
      <c r="EL156" s="59" t="str">
        <f t="shared" si="384"/>
        <v/>
      </c>
      <c r="EM156" s="59" t="str">
        <f t="shared" si="385"/>
        <v/>
      </c>
      <c r="EN156" s="59" t="str">
        <f t="shared" si="386"/>
        <v/>
      </c>
      <c r="EO156" s="59" t="str">
        <f t="shared" si="387"/>
        <v/>
      </c>
      <c r="EP156" s="59" t="str">
        <f t="shared" si="388"/>
        <v/>
      </c>
      <c r="EQ156" s="59" t="str">
        <f t="shared" si="389"/>
        <v/>
      </c>
      <c r="ER156" s="59" t="str">
        <f t="shared" si="390"/>
        <v/>
      </c>
      <c r="ES156" s="59" t="str">
        <f t="shared" si="391"/>
        <v/>
      </c>
      <c r="ET156" s="59" t="str">
        <f t="shared" si="392"/>
        <v/>
      </c>
      <c r="EU156" s="59" t="str">
        <f t="shared" si="393"/>
        <v/>
      </c>
      <c r="EV156" s="59" t="str">
        <f t="shared" si="394"/>
        <v/>
      </c>
      <c r="EW156" s="59" t="str">
        <f t="shared" si="395"/>
        <v/>
      </c>
      <c r="EX156" s="56">
        <f t="shared" si="351"/>
        <v>1126000</v>
      </c>
    </row>
    <row r="157" spans="1:154" x14ac:dyDescent="0.25">
      <c r="A157" s="2">
        <f t="shared" si="396"/>
        <v>156</v>
      </c>
      <c r="B157" s="2" t="s">
        <v>6</v>
      </c>
      <c r="C157" s="2" t="str">
        <f t="shared" si="352"/>
        <v>021004</v>
      </c>
      <c r="D157" s="2">
        <v>2</v>
      </c>
      <c r="E157" s="2">
        <v>10</v>
      </c>
      <c r="F157" s="2">
        <v>4</v>
      </c>
      <c r="G157" s="11" t="s">
        <v>18</v>
      </c>
      <c r="H157" s="4"/>
      <c r="I157" s="42" t="s">
        <v>58</v>
      </c>
      <c r="J157" s="9">
        <v>80</v>
      </c>
      <c r="K157" s="9"/>
      <c r="L157" s="10" t="s">
        <v>8</v>
      </c>
      <c r="M157" s="23" t="s">
        <v>177</v>
      </c>
      <c r="N157" s="7">
        <f t="shared" si="397"/>
        <v>1135000</v>
      </c>
      <c r="O157" s="8">
        <v>195</v>
      </c>
      <c r="P157" s="25">
        <v>41212</v>
      </c>
      <c r="Q157" s="8" t="str">
        <f t="shared" si="353"/>
        <v>2DA-OCT</v>
      </c>
      <c r="R157" s="26">
        <v>0.1</v>
      </c>
      <c r="S157" s="41" t="s">
        <v>34</v>
      </c>
      <c r="T157" s="8" t="s">
        <v>353</v>
      </c>
      <c r="U157" s="8"/>
      <c r="V157" s="7">
        <v>567500</v>
      </c>
      <c r="W157" s="7">
        <f t="shared" si="452"/>
        <v>28375</v>
      </c>
      <c r="X157" s="7">
        <f t="shared" si="355"/>
        <v>539125</v>
      </c>
      <c r="Y157" s="7">
        <v>0</v>
      </c>
      <c r="Z157" s="7">
        <f t="shared" si="356"/>
        <v>28375</v>
      </c>
      <c r="AA157" s="148" t="str">
        <f t="shared" si="357"/>
        <v>5%</v>
      </c>
      <c r="AB157" s="148">
        <f t="shared" si="358"/>
        <v>0.95</v>
      </c>
      <c r="AC157" s="25">
        <f ca="1">TODAY()-19</f>
        <v>41103</v>
      </c>
      <c r="AD157" s="25">
        <f t="shared" ref="AD157:AE157" ca="1" si="457">TODAY()-19</f>
        <v>41103</v>
      </c>
      <c r="AE157" s="25">
        <f t="shared" ca="1" si="457"/>
        <v>41103</v>
      </c>
      <c r="AF157" s="8"/>
      <c r="AG157" s="59" t="str">
        <f t="shared" ca="1" si="360"/>
        <v>NA</v>
      </c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59" t="str">
        <f t="shared" si="409"/>
        <v>NA</v>
      </c>
      <c r="AS157" s="59" t="str">
        <f t="shared" si="410"/>
        <v/>
      </c>
      <c r="AT157" s="59"/>
      <c r="AU157" s="59" t="str">
        <f t="shared" si="337"/>
        <v>ND</v>
      </c>
      <c r="AV157" s="66"/>
      <c r="AW157" s="66"/>
      <c r="AX157" s="66"/>
      <c r="AY157" s="66"/>
      <c r="AZ157" s="8"/>
      <c r="BA157" s="8" t="s">
        <v>37</v>
      </c>
      <c r="BB157" s="8"/>
      <c r="BC157" s="8"/>
      <c r="BD157" s="8"/>
      <c r="BE157" s="8"/>
      <c r="BF157" s="8"/>
      <c r="BG157" s="8"/>
      <c r="BH157" s="8"/>
      <c r="BI157" s="8"/>
      <c r="BJ157" s="8"/>
      <c r="BK157" s="59"/>
      <c r="BL157" s="59"/>
      <c r="BM157" s="59"/>
      <c r="BN157" s="164">
        <v>0.01</v>
      </c>
      <c r="BO157" s="165">
        <f t="shared" si="361"/>
        <v>3783.3333333333335</v>
      </c>
      <c r="BP157" s="165">
        <f t="shared" ref="BP157:BQ157" si="458">BO157</f>
        <v>3783.3333333333335</v>
      </c>
      <c r="BQ157" s="165">
        <f t="shared" si="458"/>
        <v>3783.3333333333335</v>
      </c>
      <c r="BR157" s="59"/>
      <c r="BS157" s="59"/>
      <c r="BT157" s="59"/>
      <c r="BU157" s="59"/>
      <c r="BV157" s="59" t="str">
        <f t="shared" si="402"/>
        <v>ND</v>
      </c>
      <c r="BW157" s="59" t="str">
        <f t="shared" si="403"/>
        <v>ND</v>
      </c>
      <c r="BX157" s="59" t="str">
        <f t="shared" si="404"/>
        <v>ND</v>
      </c>
      <c r="BY157" s="59" t="str">
        <f t="shared" si="405"/>
        <v>ND</v>
      </c>
      <c r="BZ157" s="59" t="str">
        <f t="shared" si="339"/>
        <v>NA</v>
      </c>
      <c r="CA157" s="59" t="str">
        <f t="shared" si="340"/>
        <v/>
      </c>
      <c r="CB157" s="59" t="str">
        <f t="shared" si="341"/>
        <v>NA</v>
      </c>
      <c r="CC157" s="59" t="str">
        <f t="shared" si="342"/>
        <v/>
      </c>
      <c r="CD157" s="59" t="str">
        <f t="shared" si="343"/>
        <v>NA</v>
      </c>
      <c r="CE157" s="59" t="str">
        <f t="shared" si="344"/>
        <v/>
      </c>
      <c r="CF157" s="59" t="str">
        <f t="shared" si="345"/>
        <v>NA</v>
      </c>
      <c r="CG157" s="59" t="str">
        <f t="shared" ca="1" si="346"/>
        <v>NA</v>
      </c>
      <c r="CH157" s="59" t="str">
        <f t="shared" ca="1" si="347"/>
        <v>NA</v>
      </c>
      <c r="CI157" s="59" t="str">
        <f t="shared" ca="1" si="348"/>
        <v>DE 16 A 20 DIAS</v>
      </c>
      <c r="CJ157" s="59" t="str">
        <f t="shared" ca="1" si="349"/>
        <v>DE 16 A 20 DIAS</v>
      </c>
      <c r="CK157" s="59" t="str">
        <f t="shared" ca="1" si="350"/>
        <v>DE 16 A 20 DIAS</v>
      </c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>
        <f t="shared" si="363"/>
        <v>0</v>
      </c>
      <c r="DH157" s="8">
        <f t="shared" si="364"/>
        <v>0</v>
      </c>
      <c r="DI157" s="8">
        <f t="shared" si="365"/>
        <v>0</v>
      </c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59" t="str">
        <f t="shared" si="366"/>
        <v>NA</v>
      </c>
      <c r="DU157" s="59" t="str">
        <f t="shared" si="367"/>
        <v>NA</v>
      </c>
      <c r="DV157" s="59" t="str">
        <f t="shared" si="368"/>
        <v>NA</v>
      </c>
      <c r="DW157" s="59" t="str">
        <f t="shared" si="369"/>
        <v>NA</v>
      </c>
      <c r="DX157" s="59" t="str">
        <f t="shared" si="370"/>
        <v>NA</v>
      </c>
      <c r="DY157" s="59" t="str">
        <f t="shared" si="371"/>
        <v>NA</v>
      </c>
      <c r="DZ157" s="59" t="str">
        <f t="shared" si="372"/>
        <v>NA</v>
      </c>
      <c r="EA157" s="59" t="str">
        <f t="shared" si="373"/>
        <v>NA</v>
      </c>
      <c r="EB157" s="59" t="str">
        <f t="shared" si="374"/>
        <v>NA</v>
      </c>
      <c r="EC157" s="59" t="str">
        <f t="shared" si="375"/>
        <v>NA</v>
      </c>
      <c r="ED157" s="59" t="str">
        <f t="shared" si="376"/>
        <v/>
      </c>
      <c r="EE157" s="59" t="str">
        <f t="shared" si="377"/>
        <v/>
      </c>
      <c r="EF157" s="59" t="str">
        <f t="shared" si="378"/>
        <v/>
      </c>
      <c r="EG157" s="59" t="str">
        <f t="shared" si="379"/>
        <v/>
      </c>
      <c r="EH157" s="59" t="str">
        <f t="shared" si="380"/>
        <v/>
      </c>
      <c r="EI157" s="59" t="str">
        <f t="shared" si="381"/>
        <v/>
      </c>
      <c r="EJ157" s="59" t="str">
        <f t="shared" si="382"/>
        <v/>
      </c>
      <c r="EK157" s="59" t="str">
        <f t="shared" si="383"/>
        <v/>
      </c>
      <c r="EL157" s="59" t="str">
        <f t="shared" si="384"/>
        <v/>
      </c>
      <c r="EM157" s="59" t="str">
        <f t="shared" si="385"/>
        <v/>
      </c>
      <c r="EN157" s="59" t="str">
        <f t="shared" si="386"/>
        <v/>
      </c>
      <c r="EO157" s="59" t="str">
        <f t="shared" si="387"/>
        <v/>
      </c>
      <c r="EP157" s="59" t="str">
        <f t="shared" si="388"/>
        <v/>
      </c>
      <c r="EQ157" s="59" t="str">
        <f t="shared" si="389"/>
        <v/>
      </c>
      <c r="ER157" s="59" t="str">
        <f t="shared" si="390"/>
        <v/>
      </c>
      <c r="ES157" s="59" t="str">
        <f t="shared" si="391"/>
        <v/>
      </c>
      <c r="ET157" s="59" t="str">
        <f t="shared" si="392"/>
        <v/>
      </c>
      <c r="EU157" s="59" t="str">
        <f t="shared" si="393"/>
        <v/>
      </c>
      <c r="EV157" s="59" t="str">
        <f t="shared" si="394"/>
        <v/>
      </c>
      <c r="EW157" s="59" t="str">
        <f t="shared" si="395"/>
        <v/>
      </c>
      <c r="EX157" s="56">
        <f t="shared" si="351"/>
        <v>1135000</v>
      </c>
    </row>
    <row r="158" spans="1:154" x14ac:dyDescent="0.25">
      <c r="A158" s="2">
        <f t="shared" si="396"/>
        <v>157</v>
      </c>
      <c r="B158" s="2" t="s">
        <v>6</v>
      </c>
      <c r="C158" s="2" t="str">
        <f t="shared" si="352"/>
        <v>021005</v>
      </c>
      <c r="D158" s="2">
        <v>2</v>
      </c>
      <c r="E158" s="2">
        <v>10</v>
      </c>
      <c r="F158" s="2">
        <v>5</v>
      </c>
      <c r="G158" s="11" t="s">
        <v>18</v>
      </c>
      <c r="H158" s="4"/>
      <c r="I158" s="42" t="s">
        <v>58</v>
      </c>
      <c r="J158" s="9">
        <v>80</v>
      </c>
      <c r="K158" s="5"/>
      <c r="L158" s="6" t="s">
        <v>306</v>
      </c>
      <c r="M158" s="23" t="s">
        <v>177</v>
      </c>
      <c r="N158" s="7">
        <f t="shared" si="397"/>
        <v>1126000</v>
      </c>
      <c r="O158" s="8">
        <v>196</v>
      </c>
      <c r="P158" s="25">
        <v>41212</v>
      </c>
      <c r="Q158" s="8" t="str">
        <f t="shared" si="353"/>
        <v>2DA-OCT</v>
      </c>
      <c r="R158" s="26">
        <v>0.1</v>
      </c>
      <c r="S158" s="41" t="s">
        <v>34</v>
      </c>
      <c r="T158" s="8" t="s">
        <v>353</v>
      </c>
      <c r="U158" s="8"/>
      <c r="V158" s="7">
        <v>563000</v>
      </c>
      <c r="W158" s="7">
        <f t="shared" si="452"/>
        <v>28150</v>
      </c>
      <c r="X158" s="7">
        <f t="shared" si="355"/>
        <v>534850</v>
      </c>
      <c r="Y158" s="7">
        <v>0</v>
      </c>
      <c r="Z158" s="7">
        <f t="shared" si="356"/>
        <v>28150</v>
      </c>
      <c r="AA158" s="148" t="str">
        <f t="shared" si="357"/>
        <v>5%</v>
      </c>
      <c r="AB158" s="148">
        <f t="shared" si="358"/>
        <v>0.95</v>
      </c>
      <c r="AC158" s="25">
        <f ca="1">TODAY()-25</f>
        <v>41097</v>
      </c>
      <c r="AD158" s="25">
        <f t="shared" ref="AD158:AE158" ca="1" si="459">TODAY()-25</f>
        <v>41097</v>
      </c>
      <c r="AE158" s="25">
        <f t="shared" ca="1" si="459"/>
        <v>41097</v>
      </c>
      <c r="AF158" s="8"/>
      <c r="AG158" s="59" t="str">
        <f t="shared" ca="1" si="360"/>
        <v>NA</v>
      </c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59" t="str">
        <f t="shared" si="409"/>
        <v>NA</v>
      </c>
      <c r="AS158" s="59" t="str">
        <f t="shared" si="410"/>
        <v/>
      </c>
      <c r="AT158" s="59"/>
      <c r="AU158" s="59" t="str">
        <f t="shared" si="337"/>
        <v>ND</v>
      </c>
      <c r="AV158" s="66"/>
      <c r="AW158" s="66"/>
      <c r="AX158" s="66"/>
      <c r="AY158" s="66"/>
      <c r="AZ158" s="8"/>
      <c r="BA158" s="8" t="s">
        <v>37</v>
      </c>
      <c r="BB158" s="8"/>
      <c r="BC158" s="8"/>
      <c r="BD158" s="8"/>
      <c r="BE158" s="8"/>
      <c r="BF158" s="8"/>
      <c r="BG158" s="8"/>
      <c r="BH158" s="8"/>
      <c r="BI158" s="8"/>
      <c r="BJ158" s="8"/>
      <c r="BK158" s="59"/>
      <c r="BL158" s="59"/>
      <c r="BM158" s="59"/>
      <c r="BN158" s="164">
        <v>0.01</v>
      </c>
      <c r="BO158" s="165">
        <f t="shared" si="361"/>
        <v>3753.3333333333335</v>
      </c>
      <c r="BP158" s="165">
        <f t="shared" ref="BP158:BQ158" si="460">BO158</f>
        <v>3753.3333333333335</v>
      </c>
      <c r="BQ158" s="165">
        <f t="shared" si="460"/>
        <v>3753.3333333333335</v>
      </c>
      <c r="BR158" s="59"/>
      <c r="BS158" s="59"/>
      <c r="BT158" s="59"/>
      <c r="BU158" s="59"/>
      <c r="BV158" s="59" t="str">
        <f t="shared" si="402"/>
        <v>ND</v>
      </c>
      <c r="BW158" s="59" t="str">
        <f t="shared" si="403"/>
        <v>ND</v>
      </c>
      <c r="BX158" s="59" t="str">
        <f t="shared" si="404"/>
        <v>ND</v>
      </c>
      <c r="BY158" s="59" t="str">
        <f t="shared" si="405"/>
        <v>ND</v>
      </c>
      <c r="BZ158" s="59" t="str">
        <f t="shared" si="339"/>
        <v>NA</v>
      </c>
      <c r="CA158" s="59" t="str">
        <f t="shared" si="340"/>
        <v/>
      </c>
      <c r="CB158" s="59" t="str">
        <f t="shared" si="341"/>
        <v>NA</v>
      </c>
      <c r="CC158" s="59" t="str">
        <f t="shared" si="342"/>
        <v/>
      </c>
      <c r="CD158" s="59" t="str">
        <f t="shared" si="343"/>
        <v>NA</v>
      </c>
      <c r="CE158" s="59" t="str">
        <f t="shared" si="344"/>
        <v/>
      </c>
      <c r="CF158" s="59" t="str">
        <f t="shared" si="345"/>
        <v>NA</v>
      </c>
      <c r="CG158" s="59" t="str">
        <f t="shared" ca="1" si="346"/>
        <v>NA</v>
      </c>
      <c r="CH158" s="59" t="str">
        <f t="shared" ca="1" si="347"/>
        <v>NA</v>
      </c>
      <c r="CI158" s="59" t="str">
        <f t="shared" ca="1" si="348"/>
        <v>DE 21 A 25 DIAS</v>
      </c>
      <c r="CJ158" s="59" t="str">
        <f t="shared" ca="1" si="349"/>
        <v>DE 21 A 25 DIAS</v>
      </c>
      <c r="CK158" s="59" t="str">
        <f t="shared" ca="1" si="350"/>
        <v>DE 21 A 25 DIAS</v>
      </c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>
        <f t="shared" si="363"/>
        <v>0</v>
      </c>
      <c r="DH158" s="8">
        <f t="shared" si="364"/>
        <v>0</v>
      </c>
      <c r="DI158" s="8">
        <f t="shared" si="365"/>
        <v>0</v>
      </c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59" t="str">
        <f t="shared" si="366"/>
        <v>NA</v>
      </c>
      <c r="DU158" s="59" t="str">
        <f t="shared" si="367"/>
        <v>NA</v>
      </c>
      <c r="DV158" s="59" t="str">
        <f t="shared" si="368"/>
        <v>NA</v>
      </c>
      <c r="DW158" s="59" t="str">
        <f t="shared" si="369"/>
        <v>NA</v>
      </c>
      <c r="DX158" s="59" t="str">
        <f t="shared" si="370"/>
        <v>NA</v>
      </c>
      <c r="DY158" s="59" t="str">
        <f t="shared" si="371"/>
        <v>NA</v>
      </c>
      <c r="DZ158" s="59" t="str">
        <f t="shared" si="372"/>
        <v>NA</v>
      </c>
      <c r="EA158" s="59" t="str">
        <f t="shared" si="373"/>
        <v>NA</v>
      </c>
      <c r="EB158" s="59" t="str">
        <f t="shared" si="374"/>
        <v>NA</v>
      </c>
      <c r="EC158" s="59" t="str">
        <f t="shared" si="375"/>
        <v>NA</v>
      </c>
      <c r="ED158" s="59" t="str">
        <f t="shared" si="376"/>
        <v/>
      </c>
      <c r="EE158" s="59" t="str">
        <f t="shared" si="377"/>
        <v/>
      </c>
      <c r="EF158" s="59" t="str">
        <f t="shared" si="378"/>
        <v/>
      </c>
      <c r="EG158" s="59" t="str">
        <f t="shared" si="379"/>
        <v/>
      </c>
      <c r="EH158" s="59" t="str">
        <f t="shared" si="380"/>
        <v/>
      </c>
      <c r="EI158" s="59" t="str">
        <f t="shared" si="381"/>
        <v/>
      </c>
      <c r="EJ158" s="59" t="str">
        <f t="shared" si="382"/>
        <v/>
      </c>
      <c r="EK158" s="59" t="str">
        <f t="shared" si="383"/>
        <v/>
      </c>
      <c r="EL158" s="59" t="str">
        <f t="shared" si="384"/>
        <v/>
      </c>
      <c r="EM158" s="59" t="str">
        <f t="shared" si="385"/>
        <v/>
      </c>
      <c r="EN158" s="59" t="str">
        <f t="shared" si="386"/>
        <v/>
      </c>
      <c r="EO158" s="59" t="str">
        <f t="shared" si="387"/>
        <v/>
      </c>
      <c r="EP158" s="59" t="str">
        <f t="shared" si="388"/>
        <v/>
      </c>
      <c r="EQ158" s="59" t="str">
        <f t="shared" si="389"/>
        <v/>
      </c>
      <c r="ER158" s="59" t="str">
        <f t="shared" si="390"/>
        <v/>
      </c>
      <c r="ES158" s="59" t="str">
        <f t="shared" si="391"/>
        <v/>
      </c>
      <c r="ET158" s="59" t="str">
        <f t="shared" si="392"/>
        <v/>
      </c>
      <c r="EU158" s="59" t="str">
        <f t="shared" si="393"/>
        <v/>
      </c>
      <c r="EV158" s="59" t="str">
        <f t="shared" si="394"/>
        <v/>
      </c>
      <c r="EW158" s="59" t="str">
        <f t="shared" si="395"/>
        <v/>
      </c>
      <c r="EX158" s="56">
        <f t="shared" si="351"/>
        <v>1126000</v>
      </c>
    </row>
    <row r="159" spans="1:154" x14ac:dyDescent="0.25">
      <c r="A159" s="2">
        <f t="shared" si="396"/>
        <v>158</v>
      </c>
      <c r="B159" s="2" t="s">
        <v>6</v>
      </c>
      <c r="C159" s="2" t="str">
        <f t="shared" si="352"/>
        <v>021006</v>
      </c>
      <c r="D159" s="2">
        <v>2</v>
      </c>
      <c r="E159" s="2">
        <v>10</v>
      </c>
      <c r="F159" s="2">
        <v>6</v>
      </c>
      <c r="G159" s="11" t="s">
        <v>18</v>
      </c>
      <c r="H159" s="4"/>
      <c r="I159" s="42" t="s">
        <v>58</v>
      </c>
      <c r="J159" s="9">
        <v>80</v>
      </c>
      <c r="K159" s="5"/>
      <c r="L159" s="6" t="s">
        <v>306</v>
      </c>
      <c r="M159" s="23" t="s">
        <v>177</v>
      </c>
      <c r="N159" s="7">
        <f t="shared" si="397"/>
        <v>1126000</v>
      </c>
      <c r="O159" s="8">
        <v>197</v>
      </c>
      <c r="P159" s="25">
        <v>41212</v>
      </c>
      <c r="Q159" s="8" t="str">
        <f t="shared" si="353"/>
        <v>2DA-OCT</v>
      </c>
      <c r="R159" s="26">
        <v>0.1</v>
      </c>
      <c r="S159" s="41" t="s">
        <v>34</v>
      </c>
      <c r="T159" s="8" t="s">
        <v>353</v>
      </c>
      <c r="U159" s="8"/>
      <c r="V159" s="7">
        <v>563000</v>
      </c>
      <c r="W159" s="7">
        <f t="shared" si="452"/>
        <v>28150</v>
      </c>
      <c r="X159" s="7">
        <f t="shared" si="355"/>
        <v>534850</v>
      </c>
      <c r="Y159" s="7">
        <v>0</v>
      </c>
      <c r="Z159" s="7">
        <f t="shared" si="356"/>
        <v>28150</v>
      </c>
      <c r="AA159" s="148" t="str">
        <f t="shared" si="357"/>
        <v>5%</v>
      </c>
      <c r="AB159" s="148">
        <f t="shared" si="358"/>
        <v>0.95</v>
      </c>
      <c r="AC159" s="25">
        <f ca="1">TODAY()-29</f>
        <v>41093</v>
      </c>
      <c r="AD159" s="25">
        <f t="shared" ref="AD159:AE159" ca="1" si="461">TODAY()-29</f>
        <v>41093</v>
      </c>
      <c r="AE159" s="25">
        <f t="shared" ca="1" si="461"/>
        <v>41093</v>
      </c>
      <c r="AF159" s="8"/>
      <c r="AG159" s="59" t="str">
        <f t="shared" ca="1" si="360"/>
        <v>NA</v>
      </c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59" t="str">
        <f t="shared" si="409"/>
        <v>NA</v>
      </c>
      <c r="AS159" s="59" t="str">
        <f t="shared" si="410"/>
        <v/>
      </c>
      <c r="AT159" s="59"/>
      <c r="AU159" s="59" t="str">
        <f t="shared" si="337"/>
        <v>ND</v>
      </c>
      <c r="AV159" s="66"/>
      <c r="AW159" s="66"/>
      <c r="AX159" s="66"/>
      <c r="AY159" s="66"/>
      <c r="AZ159" s="8"/>
      <c r="BA159" s="8" t="s">
        <v>37</v>
      </c>
      <c r="BB159" s="8"/>
      <c r="BC159" s="8"/>
      <c r="BD159" s="8"/>
      <c r="BE159" s="8"/>
      <c r="BF159" s="8"/>
      <c r="BG159" s="8"/>
      <c r="BH159" s="8"/>
      <c r="BI159" s="8"/>
      <c r="BJ159" s="8"/>
      <c r="BK159" s="59"/>
      <c r="BL159" s="59"/>
      <c r="BM159" s="59"/>
      <c r="BN159" s="164">
        <v>0.01</v>
      </c>
      <c r="BO159" s="165">
        <f t="shared" si="361"/>
        <v>3753.3333333333335</v>
      </c>
      <c r="BP159" s="165">
        <f t="shared" ref="BP159:BQ159" si="462">BO159</f>
        <v>3753.3333333333335</v>
      </c>
      <c r="BQ159" s="165">
        <f t="shared" si="462"/>
        <v>3753.3333333333335</v>
      </c>
      <c r="BR159" s="59"/>
      <c r="BS159" s="59"/>
      <c r="BT159" s="59"/>
      <c r="BU159" s="59"/>
      <c r="BV159" s="59" t="str">
        <f t="shared" si="402"/>
        <v>ND</v>
      </c>
      <c r="BW159" s="59" t="str">
        <f t="shared" si="403"/>
        <v>ND</v>
      </c>
      <c r="BX159" s="59" t="str">
        <f t="shared" si="404"/>
        <v>ND</v>
      </c>
      <c r="BY159" s="59" t="str">
        <f t="shared" si="405"/>
        <v>ND</v>
      </c>
      <c r="BZ159" s="59" t="str">
        <f t="shared" si="339"/>
        <v>NA</v>
      </c>
      <c r="CA159" s="59" t="str">
        <f t="shared" si="340"/>
        <v/>
      </c>
      <c r="CB159" s="59" t="str">
        <f t="shared" si="341"/>
        <v>NA</v>
      </c>
      <c r="CC159" s="59" t="str">
        <f t="shared" si="342"/>
        <v/>
      </c>
      <c r="CD159" s="59" t="str">
        <f t="shared" si="343"/>
        <v>NA</v>
      </c>
      <c r="CE159" s="59" t="str">
        <f t="shared" si="344"/>
        <v/>
      </c>
      <c r="CF159" s="59" t="str">
        <f t="shared" si="345"/>
        <v>NA</v>
      </c>
      <c r="CG159" s="59" t="str">
        <f t="shared" ca="1" si="346"/>
        <v>NA</v>
      </c>
      <c r="CH159" s="59" t="str">
        <f t="shared" ca="1" si="347"/>
        <v>NA</v>
      </c>
      <c r="CI159" s="59" t="str">
        <f t="shared" ca="1" si="348"/>
        <v>DE 26 A 29 DIAS</v>
      </c>
      <c r="CJ159" s="59" t="str">
        <f t="shared" ca="1" si="349"/>
        <v>DE 26 A 29 DIAS</v>
      </c>
      <c r="CK159" s="59" t="str">
        <f t="shared" ca="1" si="350"/>
        <v>DE 26 A 29 DIAS</v>
      </c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>
        <f t="shared" si="363"/>
        <v>0</v>
      </c>
      <c r="DH159" s="8">
        <f t="shared" si="364"/>
        <v>0</v>
      </c>
      <c r="DI159" s="8">
        <f t="shared" si="365"/>
        <v>0</v>
      </c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59" t="str">
        <f t="shared" si="366"/>
        <v>NA</v>
      </c>
      <c r="DU159" s="59" t="str">
        <f t="shared" si="367"/>
        <v>NA</v>
      </c>
      <c r="DV159" s="59" t="str">
        <f t="shared" si="368"/>
        <v>NA</v>
      </c>
      <c r="DW159" s="59" t="str">
        <f t="shared" si="369"/>
        <v>NA</v>
      </c>
      <c r="DX159" s="59" t="str">
        <f t="shared" si="370"/>
        <v>NA</v>
      </c>
      <c r="DY159" s="59" t="str">
        <f t="shared" si="371"/>
        <v>NA</v>
      </c>
      <c r="DZ159" s="59" t="str">
        <f t="shared" si="372"/>
        <v>NA</v>
      </c>
      <c r="EA159" s="59" t="str">
        <f t="shared" si="373"/>
        <v>NA</v>
      </c>
      <c r="EB159" s="59" t="str">
        <f t="shared" si="374"/>
        <v>NA</v>
      </c>
      <c r="EC159" s="59" t="str">
        <f t="shared" si="375"/>
        <v>NA</v>
      </c>
      <c r="ED159" s="59" t="str">
        <f t="shared" si="376"/>
        <v/>
      </c>
      <c r="EE159" s="59" t="str">
        <f t="shared" si="377"/>
        <v/>
      </c>
      <c r="EF159" s="59" t="str">
        <f t="shared" si="378"/>
        <v/>
      </c>
      <c r="EG159" s="59" t="str">
        <f t="shared" si="379"/>
        <v/>
      </c>
      <c r="EH159" s="59" t="str">
        <f t="shared" si="380"/>
        <v/>
      </c>
      <c r="EI159" s="59" t="str">
        <f t="shared" si="381"/>
        <v/>
      </c>
      <c r="EJ159" s="59" t="str">
        <f t="shared" si="382"/>
        <v/>
      </c>
      <c r="EK159" s="59" t="str">
        <f t="shared" si="383"/>
        <v/>
      </c>
      <c r="EL159" s="59" t="str">
        <f t="shared" si="384"/>
        <v/>
      </c>
      <c r="EM159" s="59" t="str">
        <f t="shared" si="385"/>
        <v/>
      </c>
      <c r="EN159" s="59" t="str">
        <f t="shared" si="386"/>
        <v/>
      </c>
      <c r="EO159" s="59" t="str">
        <f t="shared" si="387"/>
        <v/>
      </c>
      <c r="EP159" s="59" t="str">
        <f t="shared" si="388"/>
        <v/>
      </c>
      <c r="EQ159" s="59" t="str">
        <f t="shared" si="389"/>
        <v/>
      </c>
      <c r="ER159" s="59" t="str">
        <f t="shared" si="390"/>
        <v/>
      </c>
      <c r="ES159" s="59" t="str">
        <f t="shared" si="391"/>
        <v/>
      </c>
      <c r="ET159" s="59" t="str">
        <f t="shared" si="392"/>
        <v/>
      </c>
      <c r="EU159" s="59" t="str">
        <f t="shared" si="393"/>
        <v/>
      </c>
      <c r="EV159" s="59" t="str">
        <f t="shared" si="394"/>
        <v/>
      </c>
      <c r="EW159" s="59" t="str">
        <f t="shared" si="395"/>
        <v/>
      </c>
      <c r="EX159" s="56">
        <f t="shared" si="351"/>
        <v>1126000</v>
      </c>
    </row>
    <row r="160" spans="1:154" x14ac:dyDescent="0.25">
      <c r="A160" s="2">
        <f t="shared" si="396"/>
        <v>159</v>
      </c>
      <c r="B160" s="2" t="s">
        <v>6</v>
      </c>
      <c r="C160" s="2" t="str">
        <f t="shared" si="352"/>
        <v>021007</v>
      </c>
      <c r="D160" s="13">
        <v>2</v>
      </c>
      <c r="E160" s="13">
        <v>10</v>
      </c>
      <c r="F160" s="13">
        <v>7</v>
      </c>
      <c r="G160" s="14" t="s">
        <v>11</v>
      </c>
      <c r="H160" s="130"/>
      <c r="I160" s="42" t="s">
        <v>58</v>
      </c>
      <c r="J160" s="15">
        <v>111.129</v>
      </c>
      <c r="K160" s="15"/>
      <c r="L160" s="12" t="s">
        <v>8</v>
      </c>
      <c r="M160" s="23" t="s">
        <v>177</v>
      </c>
      <c r="N160" s="7">
        <f t="shared" si="397"/>
        <v>1253290.2</v>
      </c>
      <c r="O160" s="8">
        <v>198</v>
      </c>
      <c r="P160" s="25">
        <v>41212</v>
      </c>
      <c r="Q160" s="8" t="str">
        <f t="shared" si="353"/>
        <v>2DA-OCT</v>
      </c>
      <c r="R160" s="26">
        <v>0.1</v>
      </c>
      <c r="S160" s="41" t="s">
        <v>34</v>
      </c>
      <c r="T160" s="8" t="s">
        <v>353</v>
      </c>
      <c r="U160" s="8"/>
      <c r="V160" s="7">
        <v>626645.1</v>
      </c>
      <c r="W160" s="7">
        <f t="shared" si="452"/>
        <v>31332.255000000001</v>
      </c>
      <c r="X160" s="7">
        <f t="shared" si="355"/>
        <v>595312.84499999997</v>
      </c>
      <c r="Y160" s="7">
        <v>0</v>
      </c>
      <c r="Z160" s="7">
        <f t="shared" si="356"/>
        <v>31332.255000000001</v>
      </c>
      <c r="AA160" s="148" t="str">
        <f t="shared" si="357"/>
        <v>5%</v>
      </c>
      <c r="AB160" s="148">
        <f t="shared" si="358"/>
        <v>0.95</v>
      </c>
      <c r="AC160" s="25">
        <f ca="1">TODAY()-30</f>
        <v>41092</v>
      </c>
      <c r="AD160" s="25">
        <f t="shared" ref="AD160:AE160" ca="1" si="463">TODAY()-30</f>
        <v>41092</v>
      </c>
      <c r="AE160" s="25">
        <f t="shared" ca="1" si="463"/>
        <v>41092</v>
      </c>
      <c r="AF160" s="8"/>
      <c r="AG160" s="59" t="str">
        <f t="shared" ca="1" si="360"/>
        <v>NA</v>
      </c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59" t="str">
        <f t="shared" si="409"/>
        <v>NA</v>
      </c>
      <c r="AS160" s="59" t="str">
        <f t="shared" si="410"/>
        <v/>
      </c>
      <c r="AT160" s="59"/>
      <c r="AU160" s="59" t="str">
        <f t="shared" si="337"/>
        <v>ND</v>
      </c>
      <c r="AV160" s="66"/>
      <c r="AW160" s="66"/>
      <c r="AX160" s="66"/>
      <c r="AY160" s="66"/>
      <c r="AZ160" s="8"/>
      <c r="BA160" s="8" t="s">
        <v>37</v>
      </c>
      <c r="BB160" s="8"/>
      <c r="BC160" s="8"/>
      <c r="BD160" s="8"/>
      <c r="BE160" s="8"/>
      <c r="BF160" s="8"/>
      <c r="BG160" s="8"/>
      <c r="BH160" s="8"/>
      <c r="BI160" s="8"/>
      <c r="BJ160" s="8"/>
      <c r="BK160" s="59"/>
      <c r="BL160" s="59"/>
      <c r="BM160" s="59"/>
      <c r="BN160" s="164">
        <v>0.01</v>
      </c>
      <c r="BO160" s="165">
        <f t="shared" si="361"/>
        <v>4177.634</v>
      </c>
      <c r="BP160" s="165">
        <f t="shared" ref="BP160:BQ160" si="464">BO160</f>
        <v>4177.634</v>
      </c>
      <c r="BQ160" s="165">
        <f t="shared" si="464"/>
        <v>4177.634</v>
      </c>
      <c r="BR160" s="59"/>
      <c r="BS160" s="59"/>
      <c r="BT160" s="59"/>
      <c r="BU160" s="59"/>
      <c r="BV160" s="59" t="str">
        <f t="shared" si="402"/>
        <v>ND</v>
      </c>
      <c r="BW160" s="59" t="str">
        <f t="shared" si="403"/>
        <v>ND</v>
      </c>
      <c r="BX160" s="59" t="str">
        <f t="shared" si="404"/>
        <v>ND</v>
      </c>
      <c r="BY160" s="59" t="str">
        <f t="shared" si="405"/>
        <v>ND</v>
      </c>
      <c r="BZ160" s="59" t="str">
        <f t="shared" si="339"/>
        <v>NA</v>
      </c>
      <c r="CA160" s="59" t="str">
        <f t="shared" si="340"/>
        <v/>
      </c>
      <c r="CB160" s="59" t="str">
        <f t="shared" si="341"/>
        <v>NA</v>
      </c>
      <c r="CC160" s="59" t="str">
        <f t="shared" si="342"/>
        <v/>
      </c>
      <c r="CD160" s="59" t="str">
        <f t="shared" si="343"/>
        <v>NA</v>
      </c>
      <c r="CE160" s="59" t="str">
        <f t="shared" si="344"/>
        <v/>
      </c>
      <c r="CF160" s="59" t="str">
        <f t="shared" si="345"/>
        <v>NA</v>
      </c>
      <c r="CG160" s="59" t="str">
        <f t="shared" ca="1" si="346"/>
        <v>NA</v>
      </c>
      <c r="CH160" s="59" t="str">
        <f t="shared" ca="1" si="347"/>
        <v>NA</v>
      </c>
      <c r="CI160" s="59" t="str">
        <f t="shared" ca="1" si="348"/>
        <v>30 DIAS</v>
      </c>
      <c r="CJ160" s="59" t="str">
        <f t="shared" ca="1" si="349"/>
        <v>30 DIAS</v>
      </c>
      <c r="CK160" s="59" t="str">
        <f t="shared" ca="1" si="350"/>
        <v>30 DIAS</v>
      </c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>
        <f t="shared" si="363"/>
        <v>0</v>
      </c>
      <c r="DH160" s="8">
        <f t="shared" si="364"/>
        <v>0</v>
      </c>
      <c r="DI160" s="8">
        <f t="shared" si="365"/>
        <v>0</v>
      </c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59" t="str">
        <f t="shared" si="366"/>
        <v>NA</v>
      </c>
      <c r="DU160" s="59" t="str">
        <f t="shared" si="367"/>
        <v>NA</v>
      </c>
      <c r="DV160" s="59" t="str">
        <f t="shared" si="368"/>
        <v>NA</v>
      </c>
      <c r="DW160" s="59" t="str">
        <f t="shared" si="369"/>
        <v>NA</v>
      </c>
      <c r="DX160" s="59" t="str">
        <f t="shared" si="370"/>
        <v>NA</v>
      </c>
      <c r="DY160" s="59" t="str">
        <f t="shared" si="371"/>
        <v>NA</v>
      </c>
      <c r="DZ160" s="59" t="str">
        <f t="shared" si="372"/>
        <v>NA</v>
      </c>
      <c r="EA160" s="59" t="str">
        <f t="shared" si="373"/>
        <v>NA</v>
      </c>
      <c r="EB160" s="59" t="str">
        <f t="shared" si="374"/>
        <v>NA</v>
      </c>
      <c r="EC160" s="59" t="str">
        <f t="shared" si="375"/>
        <v>NA</v>
      </c>
      <c r="ED160" s="59" t="str">
        <f t="shared" si="376"/>
        <v/>
      </c>
      <c r="EE160" s="59" t="str">
        <f t="shared" si="377"/>
        <v/>
      </c>
      <c r="EF160" s="59" t="str">
        <f t="shared" si="378"/>
        <v/>
      </c>
      <c r="EG160" s="59" t="str">
        <f t="shared" si="379"/>
        <v/>
      </c>
      <c r="EH160" s="59" t="str">
        <f t="shared" si="380"/>
        <v/>
      </c>
      <c r="EI160" s="59" t="str">
        <f t="shared" si="381"/>
        <v/>
      </c>
      <c r="EJ160" s="59" t="str">
        <f t="shared" si="382"/>
        <v/>
      </c>
      <c r="EK160" s="59" t="str">
        <f t="shared" si="383"/>
        <v/>
      </c>
      <c r="EL160" s="59" t="str">
        <f t="shared" si="384"/>
        <v/>
      </c>
      <c r="EM160" s="59" t="str">
        <f t="shared" si="385"/>
        <v/>
      </c>
      <c r="EN160" s="59" t="str">
        <f t="shared" si="386"/>
        <v/>
      </c>
      <c r="EO160" s="59" t="str">
        <f t="shared" si="387"/>
        <v/>
      </c>
      <c r="EP160" s="59" t="str">
        <f t="shared" si="388"/>
        <v/>
      </c>
      <c r="EQ160" s="59" t="str">
        <f t="shared" si="389"/>
        <v/>
      </c>
      <c r="ER160" s="59" t="str">
        <f t="shared" si="390"/>
        <v/>
      </c>
      <c r="ES160" s="59" t="str">
        <f t="shared" si="391"/>
        <v/>
      </c>
      <c r="ET160" s="59" t="str">
        <f t="shared" si="392"/>
        <v/>
      </c>
      <c r="EU160" s="59" t="str">
        <f t="shared" si="393"/>
        <v/>
      </c>
      <c r="EV160" s="59" t="str">
        <f t="shared" si="394"/>
        <v/>
      </c>
      <c r="EW160" s="59" t="str">
        <f t="shared" si="395"/>
        <v/>
      </c>
      <c r="EX160" s="56">
        <f t="shared" si="351"/>
        <v>1253290.2</v>
      </c>
    </row>
    <row r="161" spans="1:154" x14ac:dyDescent="0.25">
      <c r="A161" s="2">
        <f t="shared" si="396"/>
        <v>160</v>
      </c>
      <c r="B161" s="2" t="s">
        <v>6</v>
      </c>
      <c r="C161" s="2" t="str">
        <f t="shared" si="352"/>
        <v>021008</v>
      </c>
      <c r="D161" s="2">
        <v>2</v>
      </c>
      <c r="E161" s="2">
        <v>10</v>
      </c>
      <c r="F161" s="2">
        <v>8</v>
      </c>
      <c r="G161" s="11" t="s">
        <v>11</v>
      </c>
      <c r="H161" s="4"/>
      <c r="I161" s="42" t="s">
        <v>58</v>
      </c>
      <c r="J161" s="9">
        <v>86.584999999999994</v>
      </c>
      <c r="K161" s="5"/>
      <c r="L161" s="6" t="s">
        <v>306</v>
      </c>
      <c r="M161" s="23" t="s">
        <v>177</v>
      </c>
      <c r="N161" s="7">
        <f t="shared" si="397"/>
        <v>1151023</v>
      </c>
      <c r="O161" s="8">
        <v>199</v>
      </c>
      <c r="P161" s="25">
        <v>41212</v>
      </c>
      <c r="Q161" s="8" t="str">
        <f t="shared" si="353"/>
        <v>2DA-OCT</v>
      </c>
      <c r="R161" s="26">
        <v>0.1</v>
      </c>
      <c r="S161" s="41" t="s">
        <v>34</v>
      </c>
      <c r="T161" s="8" t="s">
        <v>353</v>
      </c>
      <c r="U161" s="8"/>
      <c r="V161" s="7">
        <v>575511.5</v>
      </c>
      <c r="W161" s="7">
        <f t="shared" si="452"/>
        <v>28775.575000000001</v>
      </c>
      <c r="X161" s="7">
        <f t="shared" si="355"/>
        <v>546735.92500000005</v>
      </c>
      <c r="Y161" s="7">
        <v>0</v>
      </c>
      <c r="Z161" s="7">
        <f t="shared" si="356"/>
        <v>28775.575000000001</v>
      </c>
      <c r="AA161" s="148" t="str">
        <f t="shared" si="357"/>
        <v>5%</v>
      </c>
      <c r="AB161" s="148">
        <f t="shared" si="358"/>
        <v>0.95</v>
      </c>
      <c r="AC161" s="25">
        <f ca="1">TODAY()-34</f>
        <v>41088</v>
      </c>
      <c r="AD161" s="25">
        <f t="shared" ref="AD161:AE161" ca="1" si="465">TODAY()-34</f>
        <v>41088</v>
      </c>
      <c r="AE161" s="25">
        <f t="shared" ca="1" si="465"/>
        <v>41088</v>
      </c>
      <c r="AF161" s="8"/>
      <c r="AG161" s="59" t="str">
        <f t="shared" ca="1" si="360"/>
        <v>NA</v>
      </c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59" t="str">
        <f t="shared" si="409"/>
        <v>NA</v>
      </c>
      <c r="AS161" s="59" t="str">
        <f t="shared" si="410"/>
        <v/>
      </c>
      <c r="AT161" s="59"/>
      <c r="AU161" s="59" t="str">
        <f t="shared" si="337"/>
        <v>ND</v>
      </c>
      <c r="AV161" s="66"/>
      <c r="AW161" s="66"/>
      <c r="AX161" s="66"/>
      <c r="AY161" s="66"/>
      <c r="AZ161" s="8"/>
      <c r="BA161" s="8" t="s">
        <v>37</v>
      </c>
      <c r="BB161" s="8"/>
      <c r="BC161" s="8"/>
      <c r="BD161" s="8"/>
      <c r="BE161" s="8"/>
      <c r="BF161" s="8"/>
      <c r="BG161" s="8"/>
      <c r="BH161" s="8"/>
      <c r="BI161" s="8"/>
      <c r="BJ161" s="8"/>
      <c r="BK161" s="59"/>
      <c r="BL161" s="59"/>
      <c r="BM161" s="59"/>
      <c r="BN161" s="164">
        <v>0.01</v>
      </c>
      <c r="BO161" s="165">
        <f t="shared" si="361"/>
        <v>3836.7433333333333</v>
      </c>
      <c r="BP161" s="165">
        <f t="shared" ref="BP161:BQ161" si="466">BO161</f>
        <v>3836.7433333333333</v>
      </c>
      <c r="BQ161" s="165">
        <f t="shared" si="466"/>
        <v>3836.7433333333333</v>
      </c>
      <c r="BR161" s="59"/>
      <c r="BS161" s="59"/>
      <c r="BT161" s="59"/>
      <c r="BU161" s="59"/>
      <c r="BV161" s="59" t="str">
        <f t="shared" si="402"/>
        <v>ND</v>
      </c>
      <c r="BW161" s="59" t="str">
        <f t="shared" si="403"/>
        <v>ND</v>
      </c>
      <c r="BX161" s="59" t="str">
        <f t="shared" si="404"/>
        <v>ND</v>
      </c>
      <c r="BY161" s="59" t="str">
        <f t="shared" si="405"/>
        <v>ND</v>
      </c>
      <c r="BZ161" s="59" t="str">
        <f t="shared" si="339"/>
        <v>NA</v>
      </c>
      <c r="CA161" s="59" t="str">
        <f t="shared" si="340"/>
        <v/>
      </c>
      <c r="CB161" s="59" t="str">
        <f t="shared" si="341"/>
        <v>NA</v>
      </c>
      <c r="CC161" s="59" t="str">
        <f t="shared" si="342"/>
        <v/>
      </c>
      <c r="CD161" s="59" t="str">
        <f t="shared" si="343"/>
        <v>NA</v>
      </c>
      <c r="CE161" s="59" t="str">
        <f t="shared" si="344"/>
        <v/>
      </c>
      <c r="CF161" s="59" t="str">
        <f t="shared" si="345"/>
        <v>NA</v>
      </c>
      <c r="CG161" s="59" t="str">
        <f t="shared" ca="1" si="346"/>
        <v>NA</v>
      </c>
      <c r="CH161" s="59" t="str">
        <f t="shared" ca="1" si="347"/>
        <v>NA</v>
      </c>
      <c r="CI161" s="59" t="str">
        <f t="shared" ca="1" si="348"/>
        <v>DE 31 A 35 DIAS</v>
      </c>
      <c r="CJ161" s="59" t="str">
        <f t="shared" ca="1" si="349"/>
        <v>DE 31 A 35 DIAS</v>
      </c>
      <c r="CK161" s="59" t="str">
        <f t="shared" ca="1" si="350"/>
        <v>DE 31 A 35 DIAS</v>
      </c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>
        <f t="shared" si="363"/>
        <v>0</v>
      </c>
      <c r="DH161" s="8">
        <f t="shared" si="364"/>
        <v>0</v>
      </c>
      <c r="DI161" s="8">
        <f t="shared" si="365"/>
        <v>0</v>
      </c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59" t="str">
        <f t="shared" si="366"/>
        <v>NA</v>
      </c>
      <c r="DU161" s="59" t="str">
        <f t="shared" si="367"/>
        <v>NA</v>
      </c>
      <c r="DV161" s="59" t="str">
        <f t="shared" si="368"/>
        <v>NA</v>
      </c>
      <c r="DW161" s="59" t="str">
        <f t="shared" si="369"/>
        <v>NA</v>
      </c>
      <c r="DX161" s="59" t="str">
        <f t="shared" si="370"/>
        <v>NA</v>
      </c>
      <c r="DY161" s="59" t="str">
        <f t="shared" si="371"/>
        <v>NA</v>
      </c>
      <c r="DZ161" s="59" t="str">
        <f t="shared" si="372"/>
        <v>NA</v>
      </c>
      <c r="EA161" s="59" t="str">
        <f t="shared" si="373"/>
        <v>NA</v>
      </c>
      <c r="EB161" s="59" t="str">
        <f t="shared" si="374"/>
        <v>NA</v>
      </c>
      <c r="EC161" s="59" t="str">
        <f t="shared" si="375"/>
        <v>NA</v>
      </c>
      <c r="ED161" s="59" t="str">
        <f t="shared" si="376"/>
        <v/>
      </c>
      <c r="EE161" s="59" t="str">
        <f t="shared" si="377"/>
        <v/>
      </c>
      <c r="EF161" s="59" t="str">
        <f t="shared" si="378"/>
        <v/>
      </c>
      <c r="EG161" s="59" t="str">
        <f t="shared" si="379"/>
        <v/>
      </c>
      <c r="EH161" s="59" t="str">
        <f t="shared" si="380"/>
        <v/>
      </c>
      <c r="EI161" s="59" t="str">
        <f t="shared" si="381"/>
        <v/>
      </c>
      <c r="EJ161" s="59" t="str">
        <f t="shared" si="382"/>
        <v/>
      </c>
      <c r="EK161" s="59" t="str">
        <f t="shared" si="383"/>
        <v/>
      </c>
      <c r="EL161" s="59" t="str">
        <f t="shared" si="384"/>
        <v/>
      </c>
      <c r="EM161" s="59" t="str">
        <f t="shared" si="385"/>
        <v/>
      </c>
      <c r="EN161" s="59" t="str">
        <f t="shared" si="386"/>
        <v/>
      </c>
      <c r="EO161" s="59" t="str">
        <f t="shared" si="387"/>
        <v/>
      </c>
      <c r="EP161" s="59" t="str">
        <f t="shared" si="388"/>
        <v/>
      </c>
      <c r="EQ161" s="59" t="str">
        <f t="shared" si="389"/>
        <v/>
      </c>
      <c r="ER161" s="59" t="str">
        <f t="shared" si="390"/>
        <v/>
      </c>
      <c r="ES161" s="59" t="str">
        <f t="shared" si="391"/>
        <v/>
      </c>
      <c r="ET161" s="59" t="str">
        <f t="shared" si="392"/>
        <v/>
      </c>
      <c r="EU161" s="59" t="str">
        <f t="shared" si="393"/>
        <v/>
      </c>
      <c r="EV161" s="59" t="str">
        <f t="shared" si="394"/>
        <v/>
      </c>
      <c r="EW161" s="59" t="str">
        <f t="shared" si="395"/>
        <v/>
      </c>
      <c r="EX161" s="56">
        <f t="shared" si="351"/>
        <v>1151023</v>
      </c>
    </row>
    <row r="162" spans="1:154" x14ac:dyDescent="0.25">
      <c r="A162" s="2">
        <f t="shared" si="396"/>
        <v>161</v>
      </c>
      <c r="B162" s="2" t="s">
        <v>6</v>
      </c>
      <c r="C162" s="2" t="str">
        <f t="shared" si="352"/>
        <v>021009</v>
      </c>
      <c r="D162" s="2">
        <v>2</v>
      </c>
      <c r="E162" s="2">
        <v>10</v>
      </c>
      <c r="F162" s="2">
        <v>9</v>
      </c>
      <c r="G162" s="11" t="s">
        <v>11</v>
      </c>
      <c r="H162" s="4"/>
      <c r="I162" s="42" t="s">
        <v>58</v>
      </c>
      <c r="J162" s="9">
        <v>80.855000000000004</v>
      </c>
      <c r="K162" s="5"/>
      <c r="L162" s="6" t="s">
        <v>306</v>
      </c>
      <c r="M162" s="23" t="s">
        <v>177</v>
      </c>
      <c r="N162" s="7">
        <f t="shared" si="397"/>
        <v>1129249</v>
      </c>
      <c r="O162" s="8">
        <v>200</v>
      </c>
      <c r="P162" s="25">
        <v>41212</v>
      </c>
      <c r="Q162" s="8" t="str">
        <f t="shared" si="353"/>
        <v>2DA-OCT</v>
      </c>
      <c r="R162" s="26">
        <v>0.1</v>
      </c>
      <c r="S162" s="41" t="s">
        <v>34</v>
      </c>
      <c r="T162" s="8" t="s">
        <v>353</v>
      </c>
      <c r="U162" s="8"/>
      <c r="V162" s="7">
        <v>564624.5</v>
      </c>
      <c r="W162" s="7">
        <f t="shared" si="452"/>
        <v>28231.225000000002</v>
      </c>
      <c r="X162" s="7">
        <f t="shared" si="355"/>
        <v>536393.27500000002</v>
      </c>
      <c r="Y162" s="7">
        <v>0</v>
      </c>
      <c r="Z162" s="7">
        <f t="shared" si="356"/>
        <v>28231.225000000002</v>
      </c>
      <c r="AA162" s="148" t="str">
        <f t="shared" si="357"/>
        <v>5%</v>
      </c>
      <c r="AB162" s="148">
        <f t="shared" si="358"/>
        <v>0.95</v>
      </c>
      <c r="AC162" s="25">
        <f ca="1">TODAY()-39</f>
        <v>41083</v>
      </c>
      <c r="AD162" s="25">
        <f t="shared" ref="AD162:AE162" ca="1" si="467">TODAY()-39</f>
        <v>41083</v>
      </c>
      <c r="AE162" s="25">
        <f t="shared" ca="1" si="467"/>
        <v>41083</v>
      </c>
      <c r="AF162" s="8"/>
      <c r="AG162" s="59" t="str">
        <f t="shared" ca="1" si="360"/>
        <v>NA</v>
      </c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59" t="str">
        <f t="shared" si="409"/>
        <v>NA</v>
      </c>
      <c r="AS162" s="59" t="str">
        <f t="shared" si="410"/>
        <v/>
      </c>
      <c r="AT162" s="59"/>
      <c r="AU162" s="59" t="str">
        <f t="shared" si="337"/>
        <v>ND</v>
      </c>
      <c r="AV162" s="66"/>
      <c r="AW162" s="66"/>
      <c r="AX162" s="66"/>
      <c r="AY162" s="66"/>
      <c r="AZ162" s="8"/>
      <c r="BA162" s="8" t="s">
        <v>37</v>
      </c>
      <c r="BB162" s="8"/>
      <c r="BC162" s="8"/>
      <c r="BD162" s="8"/>
      <c r="BE162" s="8"/>
      <c r="BF162" s="8"/>
      <c r="BG162" s="8"/>
      <c r="BH162" s="8"/>
      <c r="BI162" s="8"/>
      <c r="BJ162" s="8"/>
      <c r="BK162" s="59"/>
      <c r="BL162" s="59"/>
      <c r="BM162" s="59"/>
      <c r="BN162" s="164">
        <v>0.01</v>
      </c>
      <c r="BO162" s="165">
        <f t="shared" si="361"/>
        <v>3764.1633333333334</v>
      </c>
      <c r="BP162" s="165">
        <f t="shared" ref="BP162:BQ162" si="468">BO162</f>
        <v>3764.1633333333334</v>
      </c>
      <c r="BQ162" s="165">
        <f t="shared" si="468"/>
        <v>3764.1633333333334</v>
      </c>
      <c r="BR162" s="59"/>
      <c r="BS162" s="59"/>
      <c r="BT162" s="59"/>
      <c r="BU162" s="59"/>
      <c r="BV162" s="59" t="str">
        <f t="shared" si="402"/>
        <v>ND</v>
      </c>
      <c r="BW162" s="59" t="str">
        <f t="shared" si="403"/>
        <v>ND</v>
      </c>
      <c r="BX162" s="59" t="str">
        <f t="shared" si="404"/>
        <v>ND</v>
      </c>
      <c r="BY162" s="59" t="str">
        <f t="shared" si="405"/>
        <v>ND</v>
      </c>
      <c r="BZ162" s="59" t="str">
        <f t="shared" si="339"/>
        <v>NA</v>
      </c>
      <c r="CA162" s="59" t="str">
        <f t="shared" si="340"/>
        <v/>
      </c>
      <c r="CB162" s="59" t="str">
        <f t="shared" si="341"/>
        <v>NA</v>
      </c>
      <c r="CC162" s="59" t="str">
        <f t="shared" si="342"/>
        <v/>
      </c>
      <c r="CD162" s="59" t="str">
        <f t="shared" si="343"/>
        <v>NA</v>
      </c>
      <c r="CE162" s="59" t="str">
        <f t="shared" si="344"/>
        <v/>
      </c>
      <c r="CF162" s="59" t="str">
        <f t="shared" si="345"/>
        <v>NA</v>
      </c>
      <c r="CG162" s="59" t="str">
        <f t="shared" ca="1" si="346"/>
        <v>NA</v>
      </c>
      <c r="CH162" s="59" t="str">
        <f t="shared" ca="1" si="347"/>
        <v>NA</v>
      </c>
      <c r="CI162" s="59" t="str">
        <f t="shared" ca="1" si="348"/>
        <v>DE 36 A 45 DIAS</v>
      </c>
      <c r="CJ162" s="59" t="str">
        <f t="shared" ca="1" si="349"/>
        <v>DE 36 A 45 DIAS</v>
      </c>
      <c r="CK162" s="59" t="str">
        <f t="shared" ca="1" si="350"/>
        <v>DE 36 A 45 DIAS</v>
      </c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>
        <f t="shared" si="363"/>
        <v>0</v>
      </c>
      <c r="DH162" s="8">
        <f t="shared" si="364"/>
        <v>0</v>
      </c>
      <c r="DI162" s="8">
        <f t="shared" si="365"/>
        <v>0</v>
      </c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59" t="str">
        <f t="shared" si="366"/>
        <v>NA</v>
      </c>
      <c r="DU162" s="59" t="str">
        <f t="shared" si="367"/>
        <v>NA</v>
      </c>
      <c r="DV162" s="59" t="str">
        <f t="shared" si="368"/>
        <v>NA</v>
      </c>
      <c r="DW162" s="59" t="str">
        <f t="shared" si="369"/>
        <v>NA</v>
      </c>
      <c r="DX162" s="59" t="str">
        <f t="shared" si="370"/>
        <v>NA</v>
      </c>
      <c r="DY162" s="59" t="str">
        <f t="shared" si="371"/>
        <v>NA</v>
      </c>
      <c r="DZ162" s="59" t="str">
        <f t="shared" si="372"/>
        <v>NA</v>
      </c>
      <c r="EA162" s="59" t="str">
        <f t="shared" si="373"/>
        <v>NA</v>
      </c>
      <c r="EB162" s="59" t="str">
        <f t="shared" si="374"/>
        <v>NA</v>
      </c>
      <c r="EC162" s="59" t="str">
        <f t="shared" si="375"/>
        <v>NA</v>
      </c>
      <c r="ED162" s="59" t="str">
        <f t="shared" si="376"/>
        <v/>
      </c>
      <c r="EE162" s="59" t="str">
        <f t="shared" si="377"/>
        <v/>
      </c>
      <c r="EF162" s="59" t="str">
        <f t="shared" si="378"/>
        <v/>
      </c>
      <c r="EG162" s="59" t="str">
        <f t="shared" si="379"/>
        <v/>
      </c>
      <c r="EH162" s="59" t="str">
        <f t="shared" si="380"/>
        <v/>
      </c>
      <c r="EI162" s="59" t="str">
        <f t="shared" si="381"/>
        <v/>
      </c>
      <c r="EJ162" s="59" t="str">
        <f t="shared" si="382"/>
        <v/>
      </c>
      <c r="EK162" s="59" t="str">
        <f t="shared" si="383"/>
        <v/>
      </c>
      <c r="EL162" s="59" t="str">
        <f t="shared" si="384"/>
        <v/>
      </c>
      <c r="EM162" s="59" t="str">
        <f t="shared" si="385"/>
        <v/>
      </c>
      <c r="EN162" s="59" t="str">
        <f t="shared" si="386"/>
        <v/>
      </c>
      <c r="EO162" s="59" t="str">
        <f t="shared" si="387"/>
        <v/>
      </c>
      <c r="EP162" s="59" t="str">
        <f t="shared" si="388"/>
        <v/>
      </c>
      <c r="EQ162" s="59" t="str">
        <f t="shared" si="389"/>
        <v/>
      </c>
      <c r="ER162" s="59" t="str">
        <f t="shared" si="390"/>
        <v/>
      </c>
      <c r="ES162" s="59" t="str">
        <f t="shared" si="391"/>
        <v/>
      </c>
      <c r="ET162" s="59" t="str">
        <f t="shared" si="392"/>
        <v/>
      </c>
      <c r="EU162" s="59" t="str">
        <f t="shared" si="393"/>
        <v/>
      </c>
      <c r="EV162" s="59" t="str">
        <f t="shared" si="394"/>
        <v/>
      </c>
      <c r="EW162" s="59" t="str">
        <f t="shared" si="395"/>
        <v/>
      </c>
      <c r="EX162" s="56">
        <f t="shared" si="351"/>
        <v>1129249</v>
      </c>
    </row>
    <row r="163" spans="1:154" x14ac:dyDescent="0.25">
      <c r="A163" s="2">
        <f t="shared" si="396"/>
        <v>162</v>
      </c>
      <c r="B163" s="2" t="s">
        <v>6</v>
      </c>
      <c r="C163" s="2" t="str">
        <f t="shared" si="352"/>
        <v>021010</v>
      </c>
      <c r="D163" s="2">
        <v>2</v>
      </c>
      <c r="E163" s="2">
        <v>10</v>
      </c>
      <c r="F163" s="2">
        <v>10</v>
      </c>
      <c r="G163" s="11" t="s">
        <v>18</v>
      </c>
      <c r="H163" s="4"/>
      <c r="I163" s="42" t="s">
        <v>58</v>
      </c>
      <c r="J163" s="9">
        <v>80.004999999999995</v>
      </c>
      <c r="K163" s="5"/>
      <c r="L163" s="6" t="s">
        <v>306</v>
      </c>
      <c r="M163" s="23" t="s">
        <v>177</v>
      </c>
      <c r="N163" s="7">
        <f t="shared" si="397"/>
        <v>1126019</v>
      </c>
      <c r="O163" s="8">
        <v>201</v>
      </c>
      <c r="P163" s="25">
        <v>41212</v>
      </c>
      <c r="Q163" s="8" t="str">
        <f t="shared" si="353"/>
        <v>2DA-OCT</v>
      </c>
      <c r="R163" s="26">
        <v>0.1</v>
      </c>
      <c r="S163" s="41" t="s">
        <v>34</v>
      </c>
      <c r="T163" s="8" t="s">
        <v>353</v>
      </c>
      <c r="U163" s="8"/>
      <c r="V163" s="7">
        <v>563009.5</v>
      </c>
      <c r="W163" s="7">
        <f t="shared" si="452"/>
        <v>28150.475000000002</v>
      </c>
      <c r="X163" s="7">
        <f t="shared" si="355"/>
        <v>534859.02500000002</v>
      </c>
      <c r="Y163" s="7">
        <v>0</v>
      </c>
      <c r="Z163" s="7">
        <f t="shared" si="356"/>
        <v>28150.475000000002</v>
      </c>
      <c r="AA163" s="148" t="str">
        <f t="shared" si="357"/>
        <v>5%</v>
      </c>
      <c r="AB163" s="148">
        <f t="shared" si="358"/>
        <v>0.95</v>
      </c>
      <c r="AC163" s="25">
        <f ca="1">TODAY()-45</f>
        <v>41077</v>
      </c>
      <c r="AD163" s="25">
        <f t="shared" ref="AD163:AE163" ca="1" si="469">TODAY()-45</f>
        <v>41077</v>
      </c>
      <c r="AE163" s="25">
        <f t="shared" ca="1" si="469"/>
        <v>41077</v>
      </c>
      <c r="AF163" s="8"/>
      <c r="AG163" s="59" t="str">
        <f t="shared" ca="1" si="360"/>
        <v>NA</v>
      </c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59" t="str">
        <f t="shared" si="409"/>
        <v>NA</v>
      </c>
      <c r="AS163" s="59" t="str">
        <f t="shared" si="410"/>
        <v/>
      </c>
      <c r="AT163" s="59"/>
      <c r="AU163" s="59" t="str">
        <f t="shared" si="337"/>
        <v>ND</v>
      </c>
      <c r="AV163" s="66"/>
      <c r="AW163" s="66"/>
      <c r="AX163" s="66"/>
      <c r="AY163" s="66"/>
      <c r="AZ163" s="8"/>
      <c r="BA163" s="8" t="s">
        <v>37</v>
      </c>
      <c r="BB163" s="8"/>
      <c r="BC163" s="8"/>
      <c r="BD163" s="8"/>
      <c r="BE163" s="8"/>
      <c r="BF163" s="8"/>
      <c r="BG163" s="8"/>
      <c r="BH163" s="8"/>
      <c r="BI163" s="8"/>
      <c r="BJ163" s="8"/>
      <c r="BK163" s="59"/>
      <c r="BL163" s="59"/>
      <c r="BM163" s="59"/>
      <c r="BN163" s="164">
        <v>0.01</v>
      </c>
      <c r="BO163" s="165">
        <f t="shared" si="361"/>
        <v>3753.396666666667</v>
      </c>
      <c r="BP163" s="165">
        <f t="shared" ref="BP163:BQ163" si="470">BO163</f>
        <v>3753.396666666667</v>
      </c>
      <c r="BQ163" s="165">
        <f t="shared" si="470"/>
        <v>3753.396666666667</v>
      </c>
      <c r="BR163" s="59"/>
      <c r="BS163" s="59"/>
      <c r="BT163" s="59"/>
      <c r="BU163" s="59"/>
      <c r="BV163" s="59" t="str">
        <f t="shared" si="402"/>
        <v>ND</v>
      </c>
      <c r="BW163" s="59" t="str">
        <f t="shared" si="403"/>
        <v>ND</v>
      </c>
      <c r="BX163" s="59" t="str">
        <f t="shared" si="404"/>
        <v>ND</v>
      </c>
      <c r="BY163" s="59" t="str">
        <f t="shared" si="405"/>
        <v>ND</v>
      </c>
      <c r="BZ163" s="59" t="str">
        <f t="shared" si="339"/>
        <v>NA</v>
      </c>
      <c r="CA163" s="59" t="str">
        <f t="shared" si="340"/>
        <v/>
      </c>
      <c r="CB163" s="59" t="str">
        <f t="shared" si="341"/>
        <v>NA</v>
      </c>
      <c r="CC163" s="59" t="str">
        <f t="shared" si="342"/>
        <v/>
      </c>
      <c r="CD163" s="59" t="str">
        <f t="shared" si="343"/>
        <v>NA</v>
      </c>
      <c r="CE163" s="59" t="str">
        <f t="shared" si="344"/>
        <v/>
      </c>
      <c r="CF163" s="59" t="str">
        <f t="shared" si="345"/>
        <v>NA</v>
      </c>
      <c r="CG163" s="59" t="str">
        <f t="shared" ca="1" si="346"/>
        <v>NA</v>
      </c>
      <c r="CH163" s="59" t="str">
        <f t="shared" ca="1" si="347"/>
        <v>NA</v>
      </c>
      <c r="CI163" s="59" t="str">
        <f t="shared" ca="1" si="348"/>
        <v>DE 36 A 45 DIAS</v>
      </c>
      <c r="CJ163" s="59" t="str">
        <f t="shared" ca="1" si="349"/>
        <v>DE 36 A 45 DIAS</v>
      </c>
      <c r="CK163" s="59" t="str">
        <f t="shared" ca="1" si="350"/>
        <v>DE 36 A 45 DIAS</v>
      </c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>
        <f t="shared" si="363"/>
        <v>0</v>
      </c>
      <c r="DH163" s="8">
        <f t="shared" si="364"/>
        <v>0</v>
      </c>
      <c r="DI163" s="8">
        <f t="shared" si="365"/>
        <v>0</v>
      </c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59" t="str">
        <f t="shared" si="366"/>
        <v>NA</v>
      </c>
      <c r="DU163" s="59" t="str">
        <f t="shared" si="367"/>
        <v>NA</v>
      </c>
      <c r="DV163" s="59" t="str">
        <f t="shared" si="368"/>
        <v>NA</v>
      </c>
      <c r="DW163" s="59" t="str">
        <f t="shared" si="369"/>
        <v>NA</v>
      </c>
      <c r="DX163" s="59" t="str">
        <f t="shared" si="370"/>
        <v>NA</v>
      </c>
      <c r="DY163" s="59" t="str">
        <f t="shared" si="371"/>
        <v>NA</v>
      </c>
      <c r="DZ163" s="59" t="str">
        <f t="shared" si="372"/>
        <v>NA</v>
      </c>
      <c r="EA163" s="59" t="str">
        <f t="shared" si="373"/>
        <v>NA</v>
      </c>
      <c r="EB163" s="59" t="str">
        <f t="shared" si="374"/>
        <v>NA</v>
      </c>
      <c r="EC163" s="59" t="str">
        <f t="shared" si="375"/>
        <v>NA</v>
      </c>
      <c r="ED163" s="59" t="str">
        <f t="shared" si="376"/>
        <v/>
      </c>
      <c r="EE163" s="59" t="str">
        <f t="shared" si="377"/>
        <v/>
      </c>
      <c r="EF163" s="59" t="str">
        <f t="shared" si="378"/>
        <v/>
      </c>
      <c r="EG163" s="59" t="str">
        <f t="shared" si="379"/>
        <v/>
      </c>
      <c r="EH163" s="59" t="str">
        <f t="shared" si="380"/>
        <v/>
      </c>
      <c r="EI163" s="59" t="str">
        <f t="shared" si="381"/>
        <v/>
      </c>
      <c r="EJ163" s="59" t="str">
        <f t="shared" si="382"/>
        <v/>
      </c>
      <c r="EK163" s="59" t="str">
        <f t="shared" si="383"/>
        <v/>
      </c>
      <c r="EL163" s="59" t="str">
        <f t="shared" si="384"/>
        <v/>
      </c>
      <c r="EM163" s="59" t="str">
        <f t="shared" si="385"/>
        <v/>
      </c>
      <c r="EN163" s="59" t="str">
        <f t="shared" si="386"/>
        <v/>
      </c>
      <c r="EO163" s="59" t="str">
        <f t="shared" si="387"/>
        <v/>
      </c>
      <c r="EP163" s="59" t="str">
        <f t="shared" si="388"/>
        <v/>
      </c>
      <c r="EQ163" s="59" t="str">
        <f t="shared" si="389"/>
        <v/>
      </c>
      <c r="ER163" s="59" t="str">
        <f t="shared" si="390"/>
        <v/>
      </c>
      <c r="ES163" s="59" t="str">
        <f t="shared" si="391"/>
        <v/>
      </c>
      <c r="ET163" s="59" t="str">
        <f t="shared" si="392"/>
        <v/>
      </c>
      <c r="EU163" s="59" t="str">
        <f t="shared" si="393"/>
        <v/>
      </c>
      <c r="EV163" s="59" t="str">
        <f t="shared" si="394"/>
        <v/>
      </c>
      <c r="EW163" s="59" t="str">
        <f t="shared" si="395"/>
        <v/>
      </c>
      <c r="EX163" s="56">
        <f t="shared" si="351"/>
        <v>1126019</v>
      </c>
    </row>
    <row r="164" spans="1:154" x14ac:dyDescent="0.25">
      <c r="A164" s="2">
        <f t="shared" si="396"/>
        <v>163</v>
      </c>
      <c r="B164" s="2" t="s">
        <v>6</v>
      </c>
      <c r="C164" s="2" t="str">
        <f t="shared" si="352"/>
        <v>021011</v>
      </c>
      <c r="D164" s="13">
        <v>2</v>
      </c>
      <c r="E164" s="13">
        <v>10</v>
      </c>
      <c r="F164" s="13">
        <v>11</v>
      </c>
      <c r="G164" s="14" t="s">
        <v>18</v>
      </c>
      <c r="H164" s="130"/>
      <c r="I164" s="42" t="s">
        <v>58</v>
      </c>
      <c r="J164" s="15">
        <v>81.004999999999995</v>
      </c>
      <c r="K164" s="15"/>
      <c r="L164" s="12" t="s">
        <v>8</v>
      </c>
      <c r="M164" s="23" t="s">
        <v>177</v>
      </c>
      <c r="N164" s="7">
        <f t="shared" si="397"/>
        <v>1138819</v>
      </c>
      <c r="O164" s="8">
        <v>202</v>
      </c>
      <c r="P164" s="25">
        <v>41212</v>
      </c>
      <c r="Q164" s="8" t="str">
        <f t="shared" si="353"/>
        <v>2DA-OCT</v>
      </c>
      <c r="R164" s="26">
        <v>0.1</v>
      </c>
      <c r="S164" s="41" t="s">
        <v>34</v>
      </c>
      <c r="T164" s="8" t="s">
        <v>353</v>
      </c>
      <c r="U164" s="8"/>
      <c r="V164" s="7">
        <v>569409.5</v>
      </c>
      <c r="W164" s="7">
        <f t="shared" si="452"/>
        <v>28470.475000000002</v>
      </c>
      <c r="X164" s="7">
        <f t="shared" si="355"/>
        <v>540939.02500000002</v>
      </c>
      <c r="Y164" s="7">
        <v>0</v>
      </c>
      <c r="Z164" s="7">
        <f t="shared" si="356"/>
        <v>28470.475000000002</v>
      </c>
      <c r="AA164" s="148" t="str">
        <f t="shared" si="357"/>
        <v>5%</v>
      </c>
      <c r="AB164" s="148">
        <f t="shared" si="358"/>
        <v>0.95</v>
      </c>
      <c r="AC164" s="25">
        <f ca="1">TODAY()-50</f>
        <v>41072</v>
      </c>
      <c r="AD164" s="25">
        <f t="shared" ref="AD164:AE164" ca="1" si="471">TODAY()-50</f>
        <v>41072</v>
      </c>
      <c r="AE164" s="25">
        <f t="shared" ca="1" si="471"/>
        <v>41072</v>
      </c>
      <c r="AF164" s="8"/>
      <c r="AG164" s="59" t="str">
        <f t="shared" ca="1" si="360"/>
        <v>NA</v>
      </c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59" t="str">
        <f t="shared" si="409"/>
        <v>NA</v>
      </c>
      <c r="AS164" s="59" t="str">
        <f t="shared" si="410"/>
        <v/>
      </c>
      <c r="AT164" s="59"/>
      <c r="AU164" s="59" t="str">
        <f t="shared" si="337"/>
        <v>ND</v>
      </c>
      <c r="AV164" s="66"/>
      <c r="AW164" s="66"/>
      <c r="AX164" s="66"/>
      <c r="AY164" s="66"/>
      <c r="AZ164" s="8"/>
      <c r="BA164" s="8" t="s">
        <v>37</v>
      </c>
      <c r="BB164" s="8"/>
      <c r="BC164" s="8"/>
      <c r="BD164" s="8"/>
      <c r="BE164" s="8"/>
      <c r="BF164" s="8"/>
      <c r="BG164" s="8"/>
      <c r="BH164" s="8"/>
      <c r="BI164" s="8"/>
      <c r="BJ164" s="8"/>
      <c r="BK164" s="59"/>
      <c r="BL164" s="59"/>
      <c r="BM164" s="59"/>
      <c r="BN164" s="164">
        <v>0.01</v>
      </c>
      <c r="BO164" s="165">
        <f t="shared" si="361"/>
        <v>3796.0633333333335</v>
      </c>
      <c r="BP164" s="165">
        <f t="shared" ref="BP164:BQ164" si="472">BO164</f>
        <v>3796.0633333333335</v>
      </c>
      <c r="BQ164" s="165">
        <f t="shared" si="472"/>
        <v>3796.0633333333335</v>
      </c>
      <c r="BR164" s="59"/>
      <c r="BS164" s="59"/>
      <c r="BT164" s="59"/>
      <c r="BU164" s="59"/>
      <c r="BV164" s="59" t="str">
        <f t="shared" si="402"/>
        <v>ND</v>
      </c>
      <c r="BW164" s="59" t="str">
        <f t="shared" si="403"/>
        <v>ND</v>
      </c>
      <c r="BX164" s="59" t="str">
        <f t="shared" si="404"/>
        <v>ND</v>
      </c>
      <c r="BY164" s="59" t="str">
        <f t="shared" si="405"/>
        <v>ND</v>
      </c>
      <c r="BZ164" s="59" t="str">
        <f t="shared" si="339"/>
        <v>NA</v>
      </c>
      <c r="CA164" s="59" t="str">
        <f t="shared" si="340"/>
        <v/>
      </c>
      <c r="CB164" s="59" t="str">
        <f t="shared" si="341"/>
        <v>NA</v>
      </c>
      <c r="CC164" s="59" t="str">
        <f t="shared" si="342"/>
        <v/>
      </c>
      <c r="CD164" s="59" t="str">
        <f t="shared" si="343"/>
        <v>NA</v>
      </c>
      <c r="CE164" s="59" t="str">
        <f t="shared" si="344"/>
        <v/>
      </c>
      <c r="CF164" s="59" t="str">
        <f t="shared" si="345"/>
        <v>NA</v>
      </c>
      <c r="CG164" s="59" t="str">
        <f t="shared" ca="1" si="346"/>
        <v>NA</v>
      </c>
      <c r="CH164" s="59" t="str">
        <f t="shared" ca="1" si="347"/>
        <v>NA</v>
      </c>
      <c r="CI164" s="59" t="str">
        <f t="shared" ca="1" si="348"/>
        <v>MAYOR A 45 DIAS</v>
      </c>
      <c r="CJ164" s="59" t="str">
        <f t="shared" ca="1" si="349"/>
        <v>MAYOR A 45 DIAS</v>
      </c>
      <c r="CK164" s="59" t="str">
        <f t="shared" ca="1" si="350"/>
        <v>MAYOR A 45 DIAS</v>
      </c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>
        <f t="shared" si="363"/>
        <v>0</v>
      </c>
      <c r="DH164" s="8">
        <f t="shared" si="364"/>
        <v>0</v>
      </c>
      <c r="DI164" s="8">
        <f t="shared" si="365"/>
        <v>0</v>
      </c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59" t="str">
        <f t="shared" si="366"/>
        <v>NA</v>
      </c>
      <c r="DU164" s="59" t="str">
        <f t="shared" si="367"/>
        <v>NA</v>
      </c>
      <c r="DV164" s="59" t="str">
        <f t="shared" si="368"/>
        <v>NA</v>
      </c>
      <c r="DW164" s="59" t="str">
        <f t="shared" si="369"/>
        <v>NA</v>
      </c>
      <c r="DX164" s="59" t="str">
        <f t="shared" si="370"/>
        <v>NA</v>
      </c>
      <c r="DY164" s="59" t="str">
        <f t="shared" si="371"/>
        <v>NA</v>
      </c>
      <c r="DZ164" s="59" t="str">
        <f t="shared" si="372"/>
        <v>NA</v>
      </c>
      <c r="EA164" s="59" t="str">
        <f t="shared" si="373"/>
        <v>NA</v>
      </c>
      <c r="EB164" s="59" t="str">
        <f t="shared" si="374"/>
        <v>NA</v>
      </c>
      <c r="EC164" s="59" t="str">
        <f t="shared" si="375"/>
        <v>NA</v>
      </c>
      <c r="ED164" s="59" t="str">
        <f t="shared" si="376"/>
        <v/>
      </c>
      <c r="EE164" s="59" t="str">
        <f t="shared" si="377"/>
        <v/>
      </c>
      <c r="EF164" s="59" t="str">
        <f t="shared" si="378"/>
        <v/>
      </c>
      <c r="EG164" s="59" t="str">
        <f t="shared" si="379"/>
        <v/>
      </c>
      <c r="EH164" s="59" t="str">
        <f t="shared" si="380"/>
        <v/>
      </c>
      <c r="EI164" s="59" t="str">
        <f t="shared" si="381"/>
        <v/>
      </c>
      <c r="EJ164" s="59" t="str">
        <f t="shared" si="382"/>
        <v/>
      </c>
      <c r="EK164" s="59" t="str">
        <f t="shared" si="383"/>
        <v/>
      </c>
      <c r="EL164" s="59" t="str">
        <f t="shared" si="384"/>
        <v/>
      </c>
      <c r="EM164" s="59" t="str">
        <f t="shared" si="385"/>
        <v/>
      </c>
      <c r="EN164" s="59" t="str">
        <f t="shared" si="386"/>
        <v/>
      </c>
      <c r="EO164" s="59" t="str">
        <f t="shared" si="387"/>
        <v/>
      </c>
      <c r="EP164" s="59" t="str">
        <f t="shared" si="388"/>
        <v/>
      </c>
      <c r="EQ164" s="59" t="str">
        <f t="shared" si="389"/>
        <v/>
      </c>
      <c r="ER164" s="59" t="str">
        <f t="shared" si="390"/>
        <v/>
      </c>
      <c r="ES164" s="59" t="str">
        <f t="shared" si="391"/>
        <v/>
      </c>
      <c r="ET164" s="59" t="str">
        <f t="shared" si="392"/>
        <v/>
      </c>
      <c r="EU164" s="59" t="str">
        <f t="shared" si="393"/>
        <v/>
      </c>
      <c r="EV164" s="59" t="str">
        <f t="shared" si="394"/>
        <v/>
      </c>
      <c r="EW164" s="59" t="str">
        <f t="shared" si="395"/>
        <v/>
      </c>
      <c r="EX164" s="56">
        <f t="shared" si="351"/>
        <v>1138819</v>
      </c>
    </row>
    <row r="165" spans="1:154" x14ac:dyDescent="0.25">
      <c r="A165" s="2">
        <f t="shared" si="396"/>
        <v>164</v>
      </c>
      <c r="B165" s="2" t="s">
        <v>6</v>
      </c>
      <c r="C165" s="2" t="str">
        <f t="shared" si="352"/>
        <v>030101</v>
      </c>
      <c r="D165" s="2">
        <v>3</v>
      </c>
      <c r="E165" s="2">
        <v>1</v>
      </c>
      <c r="F165" s="2">
        <v>1</v>
      </c>
      <c r="G165" s="11" t="s">
        <v>11</v>
      </c>
      <c r="H165" s="4"/>
      <c r="I165" s="42" t="s">
        <v>60</v>
      </c>
      <c r="J165" s="9">
        <v>287.90100000000001</v>
      </c>
      <c r="K165" s="9"/>
      <c r="L165" s="10" t="s">
        <v>8</v>
      </c>
      <c r="M165" s="22" t="s">
        <v>176</v>
      </c>
      <c r="N165" s="7">
        <f t="shared" si="397"/>
        <v>1925023.8</v>
      </c>
      <c r="O165" s="8">
        <v>203</v>
      </c>
      <c r="P165" s="25">
        <v>41136</v>
      </c>
      <c r="Q165" s="8" t="str">
        <f t="shared" si="353"/>
        <v>2DA-AGO</v>
      </c>
      <c r="R165" s="26">
        <v>0.9</v>
      </c>
      <c r="S165" s="41" t="s">
        <v>33</v>
      </c>
      <c r="T165" s="8" t="s">
        <v>352</v>
      </c>
      <c r="U165" s="25">
        <v>41061</v>
      </c>
      <c r="V165" s="7">
        <v>962511.9</v>
      </c>
      <c r="W165" s="7">
        <f t="shared" si="452"/>
        <v>48125.595000000001</v>
      </c>
      <c r="X165" s="7">
        <f t="shared" si="355"/>
        <v>0</v>
      </c>
      <c r="Y165" s="7">
        <v>48125.595000000001</v>
      </c>
      <c r="Z165" s="7">
        <f t="shared" si="356"/>
        <v>0</v>
      </c>
      <c r="AA165" s="148" t="str">
        <f t="shared" si="357"/>
        <v>5%</v>
      </c>
      <c r="AB165" s="148">
        <f t="shared" si="358"/>
        <v>0.95</v>
      </c>
      <c r="AC165" s="25">
        <f ca="1">TODAY()-4</f>
        <v>41118</v>
      </c>
      <c r="AD165" s="25">
        <f t="shared" ref="AD165:AE165" ca="1" si="473">TODAY()-4</f>
        <v>41118</v>
      </c>
      <c r="AE165" s="25">
        <f t="shared" ca="1" si="473"/>
        <v>41118</v>
      </c>
      <c r="AF165" s="25">
        <v>41043</v>
      </c>
      <c r="AG165" s="59" t="str">
        <f t="shared" ca="1" si="360"/>
        <v>MAYOR A 2 MESES</v>
      </c>
      <c r="AH165" s="55" t="s">
        <v>131</v>
      </c>
      <c r="AI165" s="55"/>
      <c r="AJ165" s="55"/>
      <c r="AK165" s="55"/>
      <c r="AL165" s="55"/>
      <c r="AM165" s="55"/>
      <c r="AN165" s="8"/>
      <c r="AO165" s="8">
        <v>68846</v>
      </c>
      <c r="AP165" s="8">
        <v>3213</v>
      </c>
      <c r="AQ165" s="8">
        <v>321</v>
      </c>
      <c r="AR165" s="59" t="str">
        <f t="shared" si="409"/>
        <v>SEM 20</v>
      </c>
      <c r="AS165" s="59" t="str">
        <f t="shared" si="410"/>
        <v>MAY</v>
      </c>
      <c r="AT165" s="59">
        <v>12000</v>
      </c>
      <c r="AU165" s="59" t="str">
        <f t="shared" si="337"/>
        <v>HASTA 12 MIL</v>
      </c>
      <c r="AV165" s="66" t="s">
        <v>72</v>
      </c>
      <c r="AW165" s="66" t="s">
        <v>38</v>
      </c>
      <c r="AX165" s="66" t="s">
        <v>79</v>
      </c>
      <c r="AY165" s="66" t="s">
        <v>174</v>
      </c>
      <c r="AZ165" s="25">
        <v>41059</v>
      </c>
      <c r="BA165" s="8" t="s">
        <v>40</v>
      </c>
      <c r="BB165" s="25">
        <v>41070</v>
      </c>
      <c r="BC165" s="25">
        <v>41141</v>
      </c>
      <c r="BD165" s="25">
        <v>41080</v>
      </c>
      <c r="BE165" s="25"/>
      <c r="BF165" s="25">
        <v>41087</v>
      </c>
      <c r="BG165" s="8"/>
      <c r="BH165" s="8"/>
      <c r="BI165" s="8">
        <v>86</v>
      </c>
      <c r="BJ165" s="8"/>
      <c r="BK165" s="59" t="s">
        <v>371</v>
      </c>
      <c r="BL165" s="59" t="s">
        <v>371</v>
      </c>
      <c r="BM165" s="59" t="s">
        <v>371</v>
      </c>
      <c r="BN165" s="164">
        <v>0.01</v>
      </c>
      <c r="BO165" s="165">
        <f t="shared" si="361"/>
        <v>6416.7460000000001</v>
      </c>
      <c r="BP165" s="165">
        <f t="shared" ref="BP165:BQ165" si="474">BO165</f>
        <v>6416.7460000000001</v>
      </c>
      <c r="BQ165" s="165">
        <f t="shared" si="474"/>
        <v>6416.7460000000001</v>
      </c>
      <c r="BR165" s="162">
        <v>41077</v>
      </c>
      <c r="BS165" s="162">
        <v>41090</v>
      </c>
      <c r="BT165" s="162">
        <v>41090</v>
      </c>
      <c r="BU165" s="59"/>
      <c r="BV165" s="59" t="str">
        <f t="shared" si="402"/>
        <v>2DA-JUN-2012</v>
      </c>
      <c r="BW165" s="59" t="str">
        <f t="shared" si="403"/>
        <v>2DA-JUN-2012</v>
      </c>
      <c r="BX165" s="59" t="str">
        <f t="shared" si="404"/>
        <v>2DA-JUN-2012</v>
      </c>
      <c r="BY165" s="59" t="str">
        <f t="shared" si="405"/>
        <v>ND</v>
      </c>
      <c r="BZ165" s="59" t="str">
        <f t="shared" si="339"/>
        <v>SEM 22</v>
      </c>
      <c r="CA165" s="59" t="str">
        <f t="shared" si="340"/>
        <v>MAY</v>
      </c>
      <c r="CB165" s="59" t="str">
        <f t="shared" si="341"/>
        <v>SEM 26</v>
      </c>
      <c r="CC165" s="59" t="str">
        <f t="shared" si="342"/>
        <v>JUN</v>
      </c>
      <c r="CD165" s="59" t="str">
        <f t="shared" si="343"/>
        <v>NA</v>
      </c>
      <c r="CE165" s="59" t="str">
        <f t="shared" si="344"/>
        <v/>
      </c>
      <c r="CF165" s="59" t="str">
        <f t="shared" si="345"/>
        <v>2DA-JUN</v>
      </c>
      <c r="CG165" s="59" t="str">
        <f t="shared" ca="1" si="346"/>
        <v>MAYOR A 2 MESES</v>
      </c>
      <c r="CH165" s="59" t="str">
        <f t="shared" ca="1" si="347"/>
        <v>5TA SEM</v>
      </c>
      <c r="CI165" s="59" t="str">
        <f t="shared" ca="1" si="348"/>
        <v>HASTA 5 DIAS</v>
      </c>
      <c r="CJ165" s="59" t="str">
        <f t="shared" ca="1" si="349"/>
        <v>HASTA 5 DIAS</v>
      </c>
      <c r="CK165" s="59" t="str">
        <f t="shared" ca="1" si="350"/>
        <v>HASTA 5 DIAS</v>
      </c>
      <c r="CL165" s="8">
        <v>1000</v>
      </c>
      <c r="CM165" s="8">
        <v>20000</v>
      </c>
      <c r="CN165" s="8">
        <v>50000</v>
      </c>
      <c r="CO165" s="8"/>
      <c r="CP165" s="8"/>
      <c r="CQ165" s="8"/>
      <c r="CR165" s="8"/>
      <c r="CS165" s="8"/>
      <c r="CT165" s="8"/>
      <c r="CU165" s="8"/>
      <c r="CV165" s="8"/>
      <c r="CW165" s="8" t="s">
        <v>250</v>
      </c>
      <c r="CX165" s="8" t="s">
        <v>250</v>
      </c>
      <c r="CY165" s="8"/>
      <c r="CZ165" s="8"/>
      <c r="DA165" s="8"/>
      <c r="DB165" s="8"/>
      <c r="DC165" s="8"/>
      <c r="DD165" s="8"/>
      <c r="DE165" s="8"/>
      <c r="DF165" s="8"/>
      <c r="DG165" s="8">
        <f t="shared" si="363"/>
        <v>0</v>
      </c>
      <c r="DH165" s="8">
        <f t="shared" si="364"/>
        <v>70000</v>
      </c>
      <c r="DI165" s="8">
        <f t="shared" si="365"/>
        <v>0</v>
      </c>
      <c r="DJ165" s="25">
        <f>+AZ165+15</f>
        <v>41074</v>
      </c>
      <c r="DK165" s="25">
        <f>+DJ165+15</f>
        <v>41089</v>
      </c>
      <c r="DL165" s="25"/>
      <c r="DM165" s="8"/>
      <c r="DN165" s="8"/>
      <c r="DO165" s="8"/>
      <c r="DP165" s="8"/>
      <c r="DQ165" s="8"/>
      <c r="DR165" s="8"/>
      <c r="DS165" s="8"/>
      <c r="DT165" s="59" t="str">
        <f t="shared" si="366"/>
        <v>SEM 24</v>
      </c>
      <c r="DU165" s="59" t="str">
        <f t="shared" si="367"/>
        <v>SEM 26</v>
      </c>
      <c r="DV165" s="59" t="str">
        <f t="shared" si="368"/>
        <v>NA</v>
      </c>
      <c r="DW165" s="59" t="str">
        <f t="shared" si="369"/>
        <v>NA</v>
      </c>
      <c r="DX165" s="59" t="str">
        <f t="shared" si="370"/>
        <v>NA</v>
      </c>
      <c r="DY165" s="59" t="str">
        <f t="shared" si="371"/>
        <v>NA</v>
      </c>
      <c r="DZ165" s="59" t="str">
        <f t="shared" si="372"/>
        <v>NA</v>
      </c>
      <c r="EA165" s="59" t="str">
        <f t="shared" si="373"/>
        <v>NA</v>
      </c>
      <c r="EB165" s="59" t="str">
        <f t="shared" si="374"/>
        <v>NA</v>
      </c>
      <c r="EC165" s="59" t="str">
        <f t="shared" si="375"/>
        <v>NA</v>
      </c>
      <c r="ED165" s="59" t="str">
        <f t="shared" si="376"/>
        <v>JUN</v>
      </c>
      <c r="EE165" s="59" t="str">
        <f t="shared" si="377"/>
        <v>JUN</v>
      </c>
      <c r="EF165" s="59" t="str">
        <f t="shared" si="378"/>
        <v/>
      </c>
      <c r="EG165" s="59" t="str">
        <f t="shared" si="379"/>
        <v/>
      </c>
      <c r="EH165" s="59" t="str">
        <f t="shared" si="380"/>
        <v/>
      </c>
      <c r="EI165" s="59" t="str">
        <f t="shared" si="381"/>
        <v/>
      </c>
      <c r="EJ165" s="59" t="str">
        <f t="shared" si="382"/>
        <v/>
      </c>
      <c r="EK165" s="59" t="str">
        <f t="shared" si="383"/>
        <v/>
      </c>
      <c r="EL165" s="59" t="str">
        <f t="shared" si="384"/>
        <v/>
      </c>
      <c r="EM165" s="59" t="str">
        <f t="shared" si="385"/>
        <v/>
      </c>
      <c r="EN165" s="59">
        <f t="shared" si="386"/>
        <v>2012</v>
      </c>
      <c r="EO165" s="59">
        <f t="shared" si="387"/>
        <v>2012</v>
      </c>
      <c r="EP165" s="59" t="str">
        <f t="shared" si="388"/>
        <v/>
      </c>
      <c r="EQ165" s="59" t="str">
        <f t="shared" si="389"/>
        <v/>
      </c>
      <c r="ER165" s="59" t="str">
        <f t="shared" si="390"/>
        <v/>
      </c>
      <c r="ES165" s="59" t="str">
        <f t="shared" si="391"/>
        <v/>
      </c>
      <c r="ET165" s="59" t="str">
        <f t="shared" si="392"/>
        <v/>
      </c>
      <c r="EU165" s="59" t="str">
        <f t="shared" si="393"/>
        <v/>
      </c>
      <c r="EV165" s="59" t="str">
        <f t="shared" si="394"/>
        <v/>
      </c>
      <c r="EW165" s="59" t="str">
        <f t="shared" si="395"/>
        <v/>
      </c>
      <c r="EX165" s="56">
        <f t="shared" si="351"/>
        <v>1854023.8</v>
      </c>
    </row>
    <row r="166" spans="1:154" x14ac:dyDescent="0.25">
      <c r="A166" s="2">
        <f t="shared" si="396"/>
        <v>165</v>
      </c>
      <c r="B166" s="2" t="s">
        <v>6</v>
      </c>
      <c r="C166" s="2" t="str">
        <f t="shared" si="352"/>
        <v>030102</v>
      </c>
      <c r="D166" s="2">
        <v>3</v>
      </c>
      <c r="E166" s="2">
        <v>1</v>
      </c>
      <c r="F166" s="2">
        <v>2</v>
      </c>
      <c r="G166" s="11" t="s">
        <v>11</v>
      </c>
      <c r="H166" s="4"/>
      <c r="I166" s="42" t="s">
        <v>60</v>
      </c>
      <c r="J166" s="9">
        <v>82.712999999999994</v>
      </c>
      <c r="K166" s="5"/>
      <c r="L166" s="6" t="s">
        <v>306</v>
      </c>
      <c r="M166" s="22" t="s">
        <v>176</v>
      </c>
      <c r="N166" s="7">
        <f t="shared" si="397"/>
        <v>1136309.3999999999</v>
      </c>
      <c r="O166" s="8">
        <v>204</v>
      </c>
      <c r="P166" s="25">
        <v>41136</v>
      </c>
      <c r="Q166" s="8" t="str">
        <f t="shared" si="353"/>
        <v>2DA-AGO</v>
      </c>
      <c r="R166" s="26">
        <v>0.9</v>
      </c>
      <c r="S166" s="41" t="s">
        <v>33</v>
      </c>
      <c r="T166" s="8" t="s">
        <v>352</v>
      </c>
      <c r="U166" s="25">
        <v>41061</v>
      </c>
      <c r="V166" s="7">
        <v>568154.69999999995</v>
      </c>
      <c r="W166" s="7">
        <f>+V166*0.48</f>
        <v>272714.25599999999</v>
      </c>
      <c r="X166" s="7">
        <f t="shared" si="355"/>
        <v>0</v>
      </c>
      <c r="Y166" s="7">
        <v>272714.25599999999</v>
      </c>
      <c r="Z166" s="7">
        <f t="shared" si="356"/>
        <v>0</v>
      </c>
      <c r="AA166" s="148" t="str">
        <f t="shared" si="357"/>
        <v>50%</v>
      </c>
      <c r="AB166" s="148">
        <f t="shared" si="358"/>
        <v>0.5</v>
      </c>
      <c r="AC166" s="25">
        <f ca="1">TODAY()-9</f>
        <v>41113</v>
      </c>
      <c r="AD166" s="25">
        <f t="shared" ref="AD166:AE166" ca="1" si="475">TODAY()-9</f>
        <v>41113</v>
      </c>
      <c r="AE166" s="25">
        <f t="shared" ca="1" si="475"/>
        <v>41113</v>
      </c>
      <c r="AF166" s="25">
        <v>40998</v>
      </c>
      <c r="AG166" s="59" t="str">
        <f t="shared" ca="1" si="360"/>
        <v>MAYOR A 2 MESES</v>
      </c>
      <c r="AH166" s="55" t="s">
        <v>132</v>
      </c>
      <c r="AI166" s="55"/>
      <c r="AJ166" s="55"/>
      <c r="AK166" s="55"/>
      <c r="AL166" s="55"/>
      <c r="AM166" s="55"/>
      <c r="AN166" s="8"/>
      <c r="AO166" s="8">
        <v>68846</v>
      </c>
      <c r="AP166" s="8">
        <v>21</v>
      </c>
      <c r="AQ166" s="8">
        <v>84</v>
      </c>
      <c r="AR166" s="59" t="str">
        <f t="shared" si="409"/>
        <v>SEM 13</v>
      </c>
      <c r="AS166" s="59" t="str">
        <f t="shared" si="410"/>
        <v>MAR</v>
      </c>
      <c r="AT166" s="59">
        <v>12000</v>
      </c>
      <c r="AU166" s="59" t="str">
        <f t="shared" si="337"/>
        <v>HASTA 12 MIL</v>
      </c>
      <c r="AV166" s="66" t="s">
        <v>72</v>
      </c>
      <c r="AW166" s="66" t="s">
        <v>38</v>
      </c>
      <c r="AX166" s="66" t="s">
        <v>79</v>
      </c>
      <c r="AY166" s="66" t="s">
        <v>175</v>
      </c>
      <c r="AZ166" s="25">
        <v>41014</v>
      </c>
      <c r="BA166" s="8" t="s">
        <v>66</v>
      </c>
      <c r="BB166" s="25">
        <v>41080</v>
      </c>
      <c r="BC166" s="25">
        <v>41141</v>
      </c>
      <c r="BD166" s="25">
        <v>41090</v>
      </c>
      <c r="BE166" s="25"/>
      <c r="BF166" s="8"/>
      <c r="BG166" s="8"/>
      <c r="BH166" s="8"/>
      <c r="BI166" s="8">
        <v>58</v>
      </c>
      <c r="BJ166" s="8"/>
      <c r="BK166" s="59" t="s">
        <v>371</v>
      </c>
      <c r="BL166" s="59" t="s">
        <v>371</v>
      </c>
      <c r="BM166" s="59" t="s">
        <v>378</v>
      </c>
      <c r="BN166" s="164">
        <v>0.01</v>
      </c>
      <c r="BO166" s="165">
        <f t="shared" si="361"/>
        <v>3787.6979999999999</v>
      </c>
      <c r="BP166" s="165">
        <f t="shared" ref="BP166:BQ166" si="476">BO166</f>
        <v>3787.6979999999999</v>
      </c>
      <c r="BQ166" s="165">
        <f t="shared" si="476"/>
        <v>3787.6979999999999</v>
      </c>
      <c r="BR166" s="162">
        <v>41090</v>
      </c>
      <c r="BS166" s="162">
        <v>41105</v>
      </c>
      <c r="BT166" s="59"/>
      <c r="BU166" s="59"/>
      <c r="BV166" s="59" t="str">
        <f t="shared" si="402"/>
        <v>2DA-JUN-2012</v>
      </c>
      <c r="BW166" s="59" t="str">
        <f t="shared" si="403"/>
        <v>2DA-JUL-2012</v>
      </c>
      <c r="BX166" s="59" t="str">
        <f t="shared" si="404"/>
        <v>ND</v>
      </c>
      <c r="BY166" s="59" t="str">
        <f t="shared" si="405"/>
        <v>ND</v>
      </c>
      <c r="BZ166" s="59" t="str">
        <f t="shared" si="339"/>
        <v>SEM 16</v>
      </c>
      <c r="CA166" s="59" t="str">
        <f t="shared" si="340"/>
        <v>ABR</v>
      </c>
      <c r="CB166" s="59" t="str">
        <f t="shared" si="341"/>
        <v>NA</v>
      </c>
      <c r="CC166" s="59" t="str">
        <f t="shared" si="342"/>
        <v/>
      </c>
      <c r="CD166" s="59" t="str">
        <f t="shared" si="343"/>
        <v>NA</v>
      </c>
      <c r="CE166" s="59" t="str">
        <f t="shared" si="344"/>
        <v/>
      </c>
      <c r="CF166" s="59" t="str">
        <f t="shared" si="345"/>
        <v>2DA-AGO</v>
      </c>
      <c r="CG166" s="59" t="str">
        <f t="shared" ca="1" si="346"/>
        <v>MAYOR A 2 MESES</v>
      </c>
      <c r="CH166" s="59" t="str">
        <f t="shared" ca="1" si="347"/>
        <v>NA</v>
      </c>
      <c r="CI166" s="59" t="str">
        <f t="shared" ca="1" si="348"/>
        <v>DE 6 A 10 DIAS</v>
      </c>
      <c r="CJ166" s="59" t="str">
        <f t="shared" ca="1" si="349"/>
        <v>DE 6 A 10 DIAS</v>
      </c>
      <c r="CK166" s="59" t="str">
        <f t="shared" ca="1" si="350"/>
        <v>DE 6 A 10 DIAS</v>
      </c>
      <c r="CL166" s="8">
        <v>3000</v>
      </c>
      <c r="CM166" s="8">
        <v>12000</v>
      </c>
      <c r="CN166" s="8">
        <v>500000</v>
      </c>
      <c r="CO166" s="8"/>
      <c r="CP166" s="8"/>
      <c r="CQ166" s="8"/>
      <c r="CR166" s="8"/>
      <c r="CS166" s="8"/>
      <c r="CT166" s="8"/>
      <c r="CU166" s="8"/>
      <c r="CV166" s="8"/>
      <c r="CW166" s="8" t="s">
        <v>250</v>
      </c>
      <c r="CX166" s="8" t="s">
        <v>250</v>
      </c>
      <c r="CY166" s="8"/>
      <c r="CZ166" s="8"/>
      <c r="DA166" s="8"/>
      <c r="DB166" s="8"/>
      <c r="DC166" s="8"/>
      <c r="DD166" s="8"/>
      <c r="DE166" s="8"/>
      <c r="DF166" s="8"/>
      <c r="DG166" s="8">
        <f t="shared" si="363"/>
        <v>0</v>
      </c>
      <c r="DH166" s="8">
        <f t="shared" si="364"/>
        <v>512000</v>
      </c>
      <c r="DI166" s="8">
        <f t="shared" si="365"/>
        <v>0</v>
      </c>
      <c r="DJ166" s="25">
        <f>+AZ166+15</f>
        <v>41029</v>
      </c>
      <c r="DK166" s="25">
        <f>+DJ166+15</f>
        <v>41044</v>
      </c>
      <c r="DL166" s="8"/>
      <c r="DM166" s="8"/>
      <c r="DN166" s="8"/>
      <c r="DO166" s="8"/>
      <c r="DP166" s="8"/>
      <c r="DQ166" s="8"/>
      <c r="DR166" s="8"/>
      <c r="DS166" s="8"/>
      <c r="DT166" s="59" t="str">
        <f t="shared" si="366"/>
        <v>SEM 18</v>
      </c>
      <c r="DU166" s="59" t="str">
        <f t="shared" si="367"/>
        <v>SEM 20</v>
      </c>
      <c r="DV166" s="59" t="str">
        <f t="shared" si="368"/>
        <v>NA</v>
      </c>
      <c r="DW166" s="59" t="str">
        <f t="shared" si="369"/>
        <v>NA</v>
      </c>
      <c r="DX166" s="59" t="str">
        <f t="shared" si="370"/>
        <v>NA</v>
      </c>
      <c r="DY166" s="59" t="str">
        <f t="shared" si="371"/>
        <v>NA</v>
      </c>
      <c r="DZ166" s="59" t="str">
        <f t="shared" si="372"/>
        <v>NA</v>
      </c>
      <c r="EA166" s="59" t="str">
        <f t="shared" si="373"/>
        <v>NA</v>
      </c>
      <c r="EB166" s="59" t="str">
        <f t="shared" si="374"/>
        <v>NA</v>
      </c>
      <c r="EC166" s="59" t="str">
        <f t="shared" si="375"/>
        <v>NA</v>
      </c>
      <c r="ED166" s="59" t="str">
        <f t="shared" si="376"/>
        <v>ABR</v>
      </c>
      <c r="EE166" s="59" t="str">
        <f t="shared" si="377"/>
        <v>MAY</v>
      </c>
      <c r="EF166" s="59" t="str">
        <f t="shared" si="378"/>
        <v/>
      </c>
      <c r="EG166" s="59" t="str">
        <f t="shared" si="379"/>
        <v/>
      </c>
      <c r="EH166" s="59" t="str">
        <f t="shared" si="380"/>
        <v/>
      </c>
      <c r="EI166" s="59" t="str">
        <f t="shared" si="381"/>
        <v/>
      </c>
      <c r="EJ166" s="59" t="str">
        <f t="shared" si="382"/>
        <v/>
      </c>
      <c r="EK166" s="59" t="str">
        <f t="shared" si="383"/>
        <v/>
      </c>
      <c r="EL166" s="59" t="str">
        <f t="shared" si="384"/>
        <v/>
      </c>
      <c r="EM166" s="59" t="str">
        <f t="shared" si="385"/>
        <v/>
      </c>
      <c r="EN166" s="59">
        <f t="shared" si="386"/>
        <v>2012</v>
      </c>
      <c r="EO166" s="59">
        <f t="shared" si="387"/>
        <v>2012</v>
      </c>
      <c r="EP166" s="59" t="str">
        <f t="shared" si="388"/>
        <v/>
      </c>
      <c r="EQ166" s="59" t="str">
        <f t="shared" si="389"/>
        <v/>
      </c>
      <c r="ER166" s="59" t="str">
        <f t="shared" si="390"/>
        <v/>
      </c>
      <c r="ES166" s="59" t="str">
        <f t="shared" si="391"/>
        <v/>
      </c>
      <c r="ET166" s="59" t="str">
        <f t="shared" si="392"/>
        <v/>
      </c>
      <c r="EU166" s="59" t="str">
        <f t="shared" si="393"/>
        <v/>
      </c>
      <c r="EV166" s="59" t="str">
        <f t="shared" si="394"/>
        <v/>
      </c>
      <c r="EW166" s="59" t="str">
        <f t="shared" si="395"/>
        <v/>
      </c>
      <c r="EX166" s="56">
        <f t="shared" si="351"/>
        <v>621309.39999999991</v>
      </c>
    </row>
    <row r="167" spans="1:154" x14ac:dyDescent="0.25">
      <c r="A167" s="2">
        <f t="shared" si="396"/>
        <v>166</v>
      </c>
      <c r="B167" s="2" t="s">
        <v>6</v>
      </c>
      <c r="C167" s="2" t="str">
        <f t="shared" si="352"/>
        <v>030103</v>
      </c>
      <c r="D167" s="2">
        <v>3</v>
      </c>
      <c r="E167" s="2">
        <v>1</v>
      </c>
      <c r="F167" s="2">
        <v>3</v>
      </c>
      <c r="G167" s="11" t="s">
        <v>11</v>
      </c>
      <c r="H167" s="4"/>
      <c r="I167" s="42" t="s">
        <v>60</v>
      </c>
      <c r="J167" s="9">
        <v>87.340999999999994</v>
      </c>
      <c r="K167" s="5"/>
      <c r="L167" s="6" t="s">
        <v>306</v>
      </c>
      <c r="M167" s="22" t="s">
        <v>176</v>
      </c>
      <c r="N167" s="7">
        <f t="shared" si="397"/>
        <v>1153895.8</v>
      </c>
      <c r="O167" s="8">
        <v>205</v>
      </c>
      <c r="P167" s="25">
        <v>41136</v>
      </c>
      <c r="Q167" s="8" t="str">
        <f t="shared" si="353"/>
        <v>2DA-AGO</v>
      </c>
      <c r="R167" s="26">
        <v>0.7</v>
      </c>
      <c r="S167" s="41" t="s">
        <v>33</v>
      </c>
      <c r="T167" s="8" t="s">
        <v>352</v>
      </c>
      <c r="U167" s="25">
        <v>41061</v>
      </c>
      <c r="V167" s="7">
        <v>576947.9</v>
      </c>
      <c r="W167" s="7">
        <f t="shared" ref="W167:W182" si="477">+V167*0.48</f>
        <v>276934.99200000003</v>
      </c>
      <c r="X167" s="7">
        <f t="shared" si="355"/>
        <v>0</v>
      </c>
      <c r="Y167" s="7">
        <v>276934.99200000003</v>
      </c>
      <c r="Z167" s="7">
        <f t="shared" si="356"/>
        <v>0</v>
      </c>
      <c r="AA167" s="148" t="str">
        <f t="shared" si="357"/>
        <v>50%</v>
      </c>
      <c r="AB167" s="148">
        <f t="shared" si="358"/>
        <v>0.5</v>
      </c>
      <c r="AC167" s="25">
        <f ca="1">TODAY()-14</f>
        <v>41108</v>
      </c>
      <c r="AD167" s="25">
        <f t="shared" ref="AD167:AE167" ca="1" si="478">TODAY()-14</f>
        <v>41108</v>
      </c>
      <c r="AE167" s="25">
        <f t="shared" ca="1" si="478"/>
        <v>41108</v>
      </c>
      <c r="AF167" s="25">
        <v>41030</v>
      </c>
      <c r="AG167" s="59" t="str">
        <f t="shared" ca="1" si="360"/>
        <v>MAYOR A 2 MESES</v>
      </c>
      <c r="AH167" s="55" t="s">
        <v>133</v>
      </c>
      <c r="AI167" s="55"/>
      <c r="AJ167" s="55"/>
      <c r="AK167" s="55"/>
      <c r="AL167" s="55"/>
      <c r="AM167" s="55"/>
      <c r="AN167" s="8"/>
      <c r="AO167" s="8">
        <v>654654</v>
      </c>
      <c r="AP167" s="8">
        <v>5814</v>
      </c>
      <c r="AQ167" s="8">
        <v>321</v>
      </c>
      <c r="AR167" s="59" t="str">
        <f t="shared" si="409"/>
        <v>SEM 18</v>
      </c>
      <c r="AS167" s="59" t="str">
        <f t="shared" si="410"/>
        <v>MAY</v>
      </c>
      <c r="AT167" s="59">
        <v>8500</v>
      </c>
      <c r="AU167" s="59" t="str">
        <f t="shared" si="337"/>
        <v>HASTA 12 MIL</v>
      </c>
      <c r="AV167" s="66" t="s">
        <v>74</v>
      </c>
      <c r="AW167" s="66" t="s">
        <v>38</v>
      </c>
      <c r="AX167" s="66" t="s">
        <v>79</v>
      </c>
      <c r="AY167" s="66" t="s">
        <v>175</v>
      </c>
      <c r="AZ167" s="25">
        <v>41044</v>
      </c>
      <c r="BA167" s="8" t="s">
        <v>36</v>
      </c>
      <c r="BB167" s="25">
        <v>41082</v>
      </c>
      <c r="BC167" s="25">
        <v>41141</v>
      </c>
      <c r="BD167" s="25">
        <v>41090</v>
      </c>
      <c r="BE167" s="25"/>
      <c r="BF167" s="8"/>
      <c r="BG167" s="8"/>
      <c r="BH167" s="8"/>
      <c r="BI167" s="8">
        <v>58</v>
      </c>
      <c r="BJ167" s="8"/>
      <c r="BK167" s="59" t="s">
        <v>371</v>
      </c>
      <c r="BL167" s="59" t="s">
        <v>378</v>
      </c>
      <c r="BM167" s="59" t="s">
        <v>378</v>
      </c>
      <c r="BN167" s="164">
        <v>0.01</v>
      </c>
      <c r="BO167" s="165">
        <f t="shared" si="361"/>
        <v>3846.3193333333334</v>
      </c>
      <c r="BP167" s="165">
        <f t="shared" ref="BP167:BQ167" si="479">BO167</f>
        <v>3846.3193333333334</v>
      </c>
      <c r="BQ167" s="165">
        <f t="shared" si="479"/>
        <v>3846.3193333333334</v>
      </c>
      <c r="BR167" s="162">
        <v>41090</v>
      </c>
      <c r="BS167" s="59"/>
      <c r="BT167" s="59"/>
      <c r="BU167" s="59"/>
      <c r="BV167" s="59" t="str">
        <f t="shared" si="402"/>
        <v>2DA-JUN-2012</v>
      </c>
      <c r="BW167" s="59" t="str">
        <f t="shared" si="403"/>
        <v>ND</v>
      </c>
      <c r="BX167" s="59" t="str">
        <f t="shared" si="404"/>
        <v>ND</v>
      </c>
      <c r="BY167" s="59" t="str">
        <f t="shared" si="405"/>
        <v>ND</v>
      </c>
      <c r="BZ167" s="59" t="str">
        <f t="shared" si="339"/>
        <v>SEM 20</v>
      </c>
      <c r="CA167" s="59" t="str">
        <f t="shared" si="340"/>
        <v>MAY</v>
      </c>
      <c r="CB167" s="59" t="str">
        <f t="shared" si="341"/>
        <v>NA</v>
      </c>
      <c r="CC167" s="59" t="str">
        <f t="shared" si="342"/>
        <v/>
      </c>
      <c r="CD167" s="59" t="str">
        <f t="shared" si="343"/>
        <v>NA</v>
      </c>
      <c r="CE167" s="59" t="str">
        <f t="shared" si="344"/>
        <v/>
      </c>
      <c r="CF167" s="59" t="str">
        <f t="shared" si="345"/>
        <v>2DA-AGO</v>
      </c>
      <c r="CG167" s="59" t="str">
        <f t="shared" ca="1" si="346"/>
        <v>MAYOR A 2 MESES</v>
      </c>
      <c r="CH167" s="59" t="str">
        <f t="shared" ca="1" si="347"/>
        <v>NA</v>
      </c>
      <c r="CI167" s="59" t="str">
        <f t="shared" ca="1" si="348"/>
        <v>DE 11 A 15 DIAS</v>
      </c>
      <c r="CJ167" s="59" t="str">
        <f t="shared" ca="1" si="349"/>
        <v>DE 11 A 15 DIAS</v>
      </c>
      <c r="CK167" s="59" t="str">
        <f t="shared" ca="1" si="350"/>
        <v>DE 11 A 15 DIAS</v>
      </c>
      <c r="CL167" s="8">
        <v>5000</v>
      </c>
      <c r="CM167" s="8">
        <v>17000</v>
      </c>
      <c r="CN167" s="8">
        <v>120000</v>
      </c>
      <c r="CO167" s="8">
        <v>10000</v>
      </c>
      <c r="CP167" s="8"/>
      <c r="CQ167" s="8"/>
      <c r="CR167" s="8"/>
      <c r="CS167" s="8"/>
      <c r="CT167" s="8"/>
      <c r="CU167" s="8"/>
      <c r="CV167" s="8"/>
      <c r="CW167" s="8" t="s">
        <v>250</v>
      </c>
      <c r="CX167" s="8" t="s">
        <v>250</v>
      </c>
      <c r="CY167" s="8" t="s">
        <v>250</v>
      </c>
      <c r="CZ167" s="8"/>
      <c r="DA167" s="8"/>
      <c r="DB167" s="8"/>
      <c r="DC167" s="8"/>
      <c r="DD167" s="8"/>
      <c r="DE167" s="8"/>
      <c r="DF167" s="8"/>
      <c r="DG167" s="8">
        <f t="shared" si="363"/>
        <v>0</v>
      </c>
      <c r="DH167" s="8">
        <f t="shared" si="364"/>
        <v>147000</v>
      </c>
      <c r="DI167" s="8">
        <f t="shared" si="365"/>
        <v>0</v>
      </c>
      <c r="DJ167" s="25">
        <f>+AZ167+15</f>
        <v>41059</v>
      </c>
      <c r="DK167" s="25">
        <f>+DJ167+15</f>
        <v>41074</v>
      </c>
      <c r="DL167" s="25">
        <f>+DK167+15</f>
        <v>41089</v>
      </c>
      <c r="DM167" s="8"/>
      <c r="DN167" s="8"/>
      <c r="DO167" s="8"/>
      <c r="DP167" s="8"/>
      <c r="DQ167" s="8"/>
      <c r="DR167" s="8"/>
      <c r="DS167" s="8"/>
      <c r="DT167" s="59" t="str">
        <f t="shared" si="366"/>
        <v>SEM 22</v>
      </c>
      <c r="DU167" s="59" t="str">
        <f t="shared" si="367"/>
        <v>SEM 24</v>
      </c>
      <c r="DV167" s="59" t="str">
        <f t="shared" si="368"/>
        <v>SEM 26</v>
      </c>
      <c r="DW167" s="59" t="str">
        <f t="shared" si="369"/>
        <v>NA</v>
      </c>
      <c r="DX167" s="59" t="str">
        <f t="shared" si="370"/>
        <v>NA</v>
      </c>
      <c r="DY167" s="59" t="str">
        <f t="shared" si="371"/>
        <v>NA</v>
      </c>
      <c r="DZ167" s="59" t="str">
        <f t="shared" si="372"/>
        <v>NA</v>
      </c>
      <c r="EA167" s="59" t="str">
        <f t="shared" si="373"/>
        <v>NA</v>
      </c>
      <c r="EB167" s="59" t="str">
        <f t="shared" si="374"/>
        <v>NA</v>
      </c>
      <c r="EC167" s="59" t="str">
        <f t="shared" si="375"/>
        <v>NA</v>
      </c>
      <c r="ED167" s="59" t="str">
        <f t="shared" si="376"/>
        <v>MAY</v>
      </c>
      <c r="EE167" s="59" t="str">
        <f t="shared" si="377"/>
        <v>JUN</v>
      </c>
      <c r="EF167" s="59" t="str">
        <f t="shared" si="378"/>
        <v>JUN</v>
      </c>
      <c r="EG167" s="59" t="str">
        <f t="shared" si="379"/>
        <v/>
      </c>
      <c r="EH167" s="59" t="str">
        <f t="shared" si="380"/>
        <v/>
      </c>
      <c r="EI167" s="59" t="str">
        <f t="shared" si="381"/>
        <v/>
      </c>
      <c r="EJ167" s="59" t="str">
        <f t="shared" si="382"/>
        <v/>
      </c>
      <c r="EK167" s="59" t="str">
        <f t="shared" si="383"/>
        <v/>
      </c>
      <c r="EL167" s="59" t="str">
        <f t="shared" si="384"/>
        <v/>
      </c>
      <c r="EM167" s="59" t="str">
        <f t="shared" si="385"/>
        <v/>
      </c>
      <c r="EN167" s="59">
        <f t="shared" si="386"/>
        <v>2012</v>
      </c>
      <c r="EO167" s="59">
        <f t="shared" si="387"/>
        <v>2012</v>
      </c>
      <c r="EP167" s="59">
        <f t="shared" si="388"/>
        <v>2012</v>
      </c>
      <c r="EQ167" s="59" t="str">
        <f t="shared" si="389"/>
        <v/>
      </c>
      <c r="ER167" s="59" t="str">
        <f t="shared" si="390"/>
        <v/>
      </c>
      <c r="ES167" s="59" t="str">
        <f t="shared" si="391"/>
        <v/>
      </c>
      <c r="ET167" s="59" t="str">
        <f t="shared" si="392"/>
        <v/>
      </c>
      <c r="EU167" s="59" t="str">
        <f t="shared" si="393"/>
        <v/>
      </c>
      <c r="EV167" s="59" t="str">
        <f t="shared" si="394"/>
        <v/>
      </c>
      <c r="EW167" s="59" t="str">
        <f t="shared" si="395"/>
        <v/>
      </c>
      <c r="EX167" s="56">
        <f t="shared" si="351"/>
        <v>1001895.8</v>
      </c>
    </row>
    <row r="168" spans="1:154" x14ac:dyDescent="0.25">
      <c r="A168" s="2">
        <f t="shared" si="396"/>
        <v>167</v>
      </c>
      <c r="B168" s="2" t="s">
        <v>6</v>
      </c>
      <c r="C168" s="2" t="str">
        <f t="shared" si="352"/>
        <v>030104</v>
      </c>
      <c r="D168" s="2">
        <v>3</v>
      </c>
      <c r="E168" s="2">
        <v>1</v>
      </c>
      <c r="F168" s="2">
        <v>4</v>
      </c>
      <c r="G168" s="11" t="s">
        <v>11</v>
      </c>
      <c r="H168" s="4"/>
      <c r="I168" s="42" t="s">
        <v>59</v>
      </c>
      <c r="J168" s="9">
        <v>97.638000000000005</v>
      </c>
      <c r="K168" s="9"/>
      <c r="L168" s="10" t="s">
        <v>8</v>
      </c>
      <c r="M168" s="22" t="s">
        <v>176</v>
      </c>
      <c r="N168" s="7">
        <f t="shared" si="397"/>
        <v>1202024.3999999999</v>
      </c>
      <c r="O168" s="8">
        <v>206</v>
      </c>
      <c r="P168" s="25">
        <v>41136</v>
      </c>
      <c r="Q168" s="8" t="str">
        <f t="shared" si="353"/>
        <v>2DA-AGO</v>
      </c>
      <c r="R168" s="26">
        <v>0.7</v>
      </c>
      <c r="S168" s="41" t="s">
        <v>34</v>
      </c>
      <c r="T168" s="8" t="s">
        <v>352</v>
      </c>
      <c r="U168" s="25"/>
      <c r="V168" s="7">
        <v>601012.19999999995</v>
      </c>
      <c r="W168" s="7">
        <f t="shared" si="477"/>
        <v>288485.85599999997</v>
      </c>
      <c r="X168" s="7">
        <f t="shared" si="355"/>
        <v>312526.34399999998</v>
      </c>
      <c r="Y168" s="7">
        <v>0</v>
      </c>
      <c r="Z168" s="7">
        <f t="shared" si="356"/>
        <v>288485.85599999997</v>
      </c>
      <c r="AA168" s="148" t="str">
        <f t="shared" si="357"/>
        <v>50%</v>
      </c>
      <c r="AB168" s="148">
        <f t="shared" si="358"/>
        <v>0.5</v>
      </c>
      <c r="AC168" s="25">
        <f ca="1">TODAY()-19</f>
        <v>41103</v>
      </c>
      <c r="AD168" s="25">
        <f t="shared" ref="AD168:AE168" ca="1" si="480">TODAY()-19</f>
        <v>41103</v>
      </c>
      <c r="AE168" s="25">
        <f t="shared" ca="1" si="480"/>
        <v>41103</v>
      </c>
      <c r="AF168" s="8"/>
      <c r="AG168" s="59" t="str">
        <f t="shared" ca="1" si="360"/>
        <v>NA</v>
      </c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59" t="str">
        <f t="shared" si="409"/>
        <v>NA</v>
      </c>
      <c r="AS168" s="59" t="str">
        <f t="shared" si="410"/>
        <v/>
      </c>
      <c r="AT168" s="59"/>
      <c r="AU168" s="59" t="str">
        <f t="shared" si="337"/>
        <v>ND</v>
      </c>
      <c r="AV168" s="66"/>
      <c r="AW168" s="66"/>
      <c r="AX168" s="66"/>
      <c r="AY168" s="66"/>
      <c r="AZ168" s="8"/>
      <c r="BA168" s="8" t="s">
        <v>37</v>
      </c>
      <c r="BB168" s="8"/>
      <c r="BC168" s="8"/>
      <c r="BD168" s="8"/>
      <c r="BE168" s="8"/>
      <c r="BF168" s="8"/>
      <c r="BG168" s="8"/>
      <c r="BH168" s="8"/>
      <c r="BI168" s="8"/>
      <c r="BJ168" s="8"/>
      <c r="BK168" s="59"/>
      <c r="BL168" s="59"/>
      <c r="BM168" s="59"/>
      <c r="BN168" s="164">
        <v>0.01</v>
      </c>
      <c r="BO168" s="165">
        <f t="shared" si="361"/>
        <v>4006.7479999999996</v>
      </c>
      <c r="BP168" s="165">
        <f t="shared" ref="BP168:BQ168" si="481">BO168</f>
        <v>4006.7479999999996</v>
      </c>
      <c r="BQ168" s="165">
        <f t="shared" si="481"/>
        <v>4006.7479999999996</v>
      </c>
      <c r="BR168" s="59"/>
      <c r="BS168" s="59"/>
      <c r="BT168" s="59"/>
      <c r="BU168" s="59"/>
      <c r="BV168" s="59" t="str">
        <f t="shared" si="402"/>
        <v>ND</v>
      </c>
      <c r="BW168" s="59" t="str">
        <f t="shared" si="403"/>
        <v>ND</v>
      </c>
      <c r="BX168" s="59" t="str">
        <f t="shared" si="404"/>
        <v>ND</v>
      </c>
      <c r="BY168" s="59" t="str">
        <f t="shared" si="405"/>
        <v>ND</v>
      </c>
      <c r="BZ168" s="59" t="str">
        <f t="shared" si="339"/>
        <v>NA</v>
      </c>
      <c r="CA168" s="59" t="str">
        <f t="shared" si="340"/>
        <v/>
      </c>
      <c r="CB168" s="59" t="str">
        <f t="shared" si="341"/>
        <v>NA</v>
      </c>
      <c r="CC168" s="59" t="str">
        <f t="shared" si="342"/>
        <v/>
      </c>
      <c r="CD168" s="59" t="str">
        <f t="shared" si="343"/>
        <v>NA</v>
      </c>
      <c r="CE168" s="59" t="str">
        <f t="shared" si="344"/>
        <v/>
      </c>
      <c r="CF168" s="59" t="str">
        <f t="shared" si="345"/>
        <v>NA</v>
      </c>
      <c r="CG168" s="59" t="str">
        <f t="shared" ca="1" si="346"/>
        <v>NA</v>
      </c>
      <c r="CH168" s="59" t="str">
        <f t="shared" ca="1" si="347"/>
        <v>NA</v>
      </c>
      <c r="CI168" s="59" t="str">
        <f t="shared" ca="1" si="348"/>
        <v>DE 16 A 20 DIAS</v>
      </c>
      <c r="CJ168" s="59" t="str">
        <f t="shared" ca="1" si="349"/>
        <v>DE 16 A 20 DIAS</v>
      </c>
      <c r="CK168" s="59" t="str">
        <f t="shared" ca="1" si="350"/>
        <v>DE 16 A 20 DIAS</v>
      </c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>
        <f t="shared" si="363"/>
        <v>0</v>
      </c>
      <c r="DH168" s="8">
        <f t="shared" si="364"/>
        <v>0</v>
      </c>
      <c r="DI168" s="8">
        <f t="shared" si="365"/>
        <v>0</v>
      </c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59" t="str">
        <f t="shared" si="366"/>
        <v>NA</v>
      </c>
      <c r="DU168" s="59" t="str">
        <f t="shared" si="367"/>
        <v>NA</v>
      </c>
      <c r="DV168" s="59" t="str">
        <f t="shared" si="368"/>
        <v>NA</v>
      </c>
      <c r="DW168" s="59" t="str">
        <f t="shared" si="369"/>
        <v>NA</v>
      </c>
      <c r="DX168" s="59" t="str">
        <f t="shared" si="370"/>
        <v>NA</v>
      </c>
      <c r="DY168" s="59" t="str">
        <f t="shared" si="371"/>
        <v>NA</v>
      </c>
      <c r="DZ168" s="59" t="str">
        <f t="shared" si="372"/>
        <v>NA</v>
      </c>
      <c r="EA168" s="59" t="str">
        <f t="shared" si="373"/>
        <v>NA</v>
      </c>
      <c r="EB168" s="59" t="str">
        <f t="shared" si="374"/>
        <v>NA</v>
      </c>
      <c r="EC168" s="59" t="str">
        <f t="shared" si="375"/>
        <v>NA</v>
      </c>
      <c r="ED168" s="59" t="str">
        <f t="shared" si="376"/>
        <v/>
      </c>
      <c r="EE168" s="59" t="str">
        <f t="shared" si="377"/>
        <v/>
      </c>
      <c r="EF168" s="59" t="str">
        <f t="shared" si="378"/>
        <v/>
      </c>
      <c r="EG168" s="59" t="str">
        <f t="shared" si="379"/>
        <v/>
      </c>
      <c r="EH168" s="59" t="str">
        <f t="shared" si="380"/>
        <v/>
      </c>
      <c r="EI168" s="59" t="str">
        <f t="shared" si="381"/>
        <v/>
      </c>
      <c r="EJ168" s="59" t="str">
        <f t="shared" si="382"/>
        <v/>
      </c>
      <c r="EK168" s="59" t="str">
        <f t="shared" si="383"/>
        <v/>
      </c>
      <c r="EL168" s="59" t="str">
        <f t="shared" si="384"/>
        <v/>
      </c>
      <c r="EM168" s="59" t="str">
        <f t="shared" si="385"/>
        <v/>
      </c>
      <c r="EN168" s="59" t="str">
        <f t="shared" si="386"/>
        <v/>
      </c>
      <c r="EO168" s="59" t="str">
        <f t="shared" si="387"/>
        <v/>
      </c>
      <c r="EP168" s="59" t="str">
        <f t="shared" si="388"/>
        <v/>
      </c>
      <c r="EQ168" s="59" t="str">
        <f t="shared" si="389"/>
        <v/>
      </c>
      <c r="ER168" s="59" t="str">
        <f t="shared" si="390"/>
        <v/>
      </c>
      <c r="ES168" s="59" t="str">
        <f t="shared" si="391"/>
        <v/>
      </c>
      <c r="ET168" s="59" t="str">
        <f t="shared" si="392"/>
        <v/>
      </c>
      <c r="EU168" s="59" t="str">
        <f t="shared" si="393"/>
        <v/>
      </c>
      <c r="EV168" s="59" t="str">
        <f t="shared" si="394"/>
        <v/>
      </c>
      <c r="EW168" s="59" t="str">
        <f t="shared" si="395"/>
        <v/>
      </c>
      <c r="EX168" s="56">
        <f t="shared" si="351"/>
        <v>1202024.3999999999</v>
      </c>
    </row>
    <row r="169" spans="1:154" x14ac:dyDescent="0.25">
      <c r="A169" s="2">
        <f t="shared" si="396"/>
        <v>168</v>
      </c>
      <c r="B169" s="2" t="s">
        <v>6</v>
      </c>
      <c r="C169" s="2" t="str">
        <f t="shared" si="352"/>
        <v>030105</v>
      </c>
      <c r="D169" s="2">
        <v>3</v>
      </c>
      <c r="E169" s="2">
        <v>1</v>
      </c>
      <c r="F169" s="2">
        <v>5</v>
      </c>
      <c r="G169" s="11" t="s">
        <v>11</v>
      </c>
      <c r="H169" s="4"/>
      <c r="I169" s="42" t="s">
        <v>59</v>
      </c>
      <c r="J169" s="9">
        <v>105.361</v>
      </c>
      <c r="K169" s="5"/>
      <c r="L169" s="6" t="s">
        <v>306</v>
      </c>
      <c r="M169" s="22" t="s">
        <v>176</v>
      </c>
      <c r="N169" s="7">
        <f t="shared" si="397"/>
        <v>1222371.8</v>
      </c>
      <c r="O169" s="8">
        <v>207</v>
      </c>
      <c r="P169" s="25">
        <v>41136</v>
      </c>
      <c r="Q169" s="8" t="str">
        <f t="shared" si="353"/>
        <v>2DA-AGO</v>
      </c>
      <c r="R169" s="26">
        <v>0.8</v>
      </c>
      <c r="S169" s="41" t="s">
        <v>34</v>
      </c>
      <c r="T169" s="8" t="s">
        <v>352</v>
      </c>
      <c r="U169" s="25"/>
      <c r="V169" s="7">
        <v>611185.9</v>
      </c>
      <c r="W169" s="7">
        <f t="shared" si="477"/>
        <v>293369.23200000002</v>
      </c>
      <c r="X169" s="7">
        <f t="shared" si="355"/>
        <v>317816.66800000001</v>
      </c>
      <c r="Y169" s="7">
        <v>0</v>
      </c>
      <c r="Z169" s="7">
        <f t="shared" si="356"/>
        <v>293369.23200000002</v>
      </c>
      <c r="AA169" s="148" t="str">
        <f t="shared" si="357"/>
        <v>50%</v>
      </c>
      <c r="AB169" s="148">
        <f t="shared" si="358"/>
        <v>0.5</v>
      </c>
      <c r="AC169" s="25">
        <f ca="1">TODAY()-25</f>
        <v>41097</v>
      </c>
      <c r="AD169" s="25">
        <f t="shared" ref="AD169:AE169" ca="1" si="482">TODAY()-25</f>
        <v>41097</v>
      </c>
      <c r="AE169" s="25">
        <f t="shared" ca="1" si="482"/>
        <v>41097</v>
      </c>
      <c r="AF169" s="8"/>
      <c r="AG169" s="59" t="str">
        <f t="shared" ca="1" si="360"/>
        <v>NA</v>
      </c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59" t="str">
        <f t="shared" si="409"/>
        <v>NA</v>
      </c>
      <c r="AS169" s="59" t="str">
        <f t="shared" si="410"/>
        <v/>
      </c>
      <c r="AT169" s="59"/>
      <c r="AU169" s="59" t="str">
        <f t="shared" si="337"/>
        <v>ND</v>
      </c>
      <c r="AV169" s="66"/>
      <c r="AW169" s="66"/>
      <c r="AX169" s="66"/>
      <c r="AY169" s="66"/>
      <c r="AZ169" s="8"/>
      <c r="BA169" s="8" t="s">
        <v>37</v>
      </c>
      <c r="BB169" s="8"/>
      <c r="BC169" s="8"/>
      <c r="BD169" s="8"/>
      <c r="BE169" s="8"/>
      <c r="BF169" s="8"/>
      <c r="BG169" s="8"/>
      <c r="BH169" s="8"/>
      <c r="BI169" s="8"/>
      <c r="BJ169" s="8"/>
      <c r="BK169" s="59"/>
      <c r="BL169" s="59"/>
      <c r="BM169" s="59"/>
      <c r="BN169" s="164">
        <v>0.01</v>
      </c>
      <c r="BO169" s="165">
        <f t="shared" si="361"/>
        <v>4074.5726666666669</v>
      </c>
      <c r="BP169" s="165">
        <f t="shared" ref="BP169:BQ169" si="483">BO169</f>
        <v>4074.5726666666669</v>
      </c>
      <c r="BQ169" s="165">
        <f t="shared" si="483"/>
        <v>4074.5726666666669</v>
      </c>
      <c r="BR169" s="59"/>
      <c r="BS169" s="59"/>
      <c r="BT169" s="59"/>
      <c r="BU169" s="59"/>
      <c r="BV169" s="59" t="str">
        <f t="shared" si="402"/>
        <v>ND</v>
      </c>
      <c r="BW169" s="59" t="str">
        <f t="shared" si="403"/>
        <v>ND</v>
      </c>
      <c r="BX169" s="59" t="str">
        <f t="shared" si="404"/>
        <v>ND</v>
      </c>
      <c r="BY169" s="59" t="str">
        <f t="shared" si="405"/>
        <v>ND</v>
      </c>
      <c r="BZ169" s="59" t="str">
        <f t="shared" si="339"/>
        <v>NA</v>
      </c>
      <c r="CA169" s="59" t="str">
        <f t="shared" si="340"/>
        <v/>
      </c>
      <c r="CB169" s="59" t="str">
        <f t="shared" si="341"/>
        <v>NA</v>
      </c>
      <c r="CC169" s="59" t="str">
        <f t="shared" si="342"/>
        <v/>
      </c>
      <c r="CD169" s="59" t="str">
        <f t="shared" si="343"/>
        <v>NA</v>
      </c>
      <c r="CE169" s="59" t="str">
        <f t="shared" si="344"/>
        <v/>
      </c>
      <c r="CF169" s="59" t="str">
        <f t="shared" si="345"/>
        <v>NA</v>
      </c>
      <c r="CG169" s="59" t="str">
        <f t="shared" ca="1" si="346"/>
        <v>NA</v>
      </c>
      <c r="CH169" s="59" t="str">
        <f t="shared" ca="1" si="347"/>
        <v>NA</v>
      </c>
      <c r="CI169" s="59" t="str">
        <f t="shared" ca="1" si="348"/>
        <v>DE 21 A 25 DIAS</v>
      </c>
      <c r="CJ169" s="59" t="str">
        <f t="shared" ca="1" si="349"/>
        <v>DE 21 A 25 DIAS</v>
      </c>
      <c r="CK169" s="59" t="str">
        <f t="shared" ca="1" si="350"/>
        <v>DE 21 A 25 DIAS</v>
      </c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>
        <f t="shared" si="363"/>
        <v>0</v>
      </c>
      <c r="DH169" s="8">
        <f t="shared" si="364"/>
        <v>0</v>
      </c>
      <c r="DI169" s="8">
        <f t="shared" si="365"/>
        <v>0</v>
      </c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59" t="str">
        <f t="shared" si="366"/>
        <v>NA</v>
      </c>
      <c r="DU169" s="59" t="str">
        <f t="shared" si="367"/>
        <v>NA</v>
      </c>
      <c r="DV169" s="59" t="str">
        <f t="shared" si="368"/>
        <v>NA</v>
      </c>
      <c r="DW169" s="59" t="str">
        <f t="shared" si="369"/>
        <v>NA</v>
      </c>
      <c r="DX169" s="59" t="str">
        <f t="shared" si="370"/>
        <v>NA</v>
      </c>
      <c r="DY169" s="59" t="str">
        <f t="shared" si="371"/>
        <v>NA</v>
      </c>
      <c r="DZ169" s="59" t="str">
        <f t="shared" si="372"/>
        <v>NA</v>
      </c>
      <c r="EA169" s="59" t="str">
        <f t="shared" si="373"/>
        <v>NA</v>
      </c>
      <c r="EB169" s="59" t="str">
        <f t="shared" si="374"/>
        <v>NA</v>
      </c>
      <c r="EC169" s="59" t="str">
        <f t="shared" si="375"/>
        <v>NA</v>
      </c>
      <c r="ED169" s="59" t="str">
        <f t="shared" si="376"/>
        <v/>
      </c>
      <c r="EE169" s="59" t="str">
        <f t="shared" si="377"/>
        <v/>
      </c>
      <c r="EF169" s="59" t="str">
        <f t="shared" si="378"/>
        <v/>
      </c>
      <c r="EG169" s="59" t="str">
        <f t="shared" si="379"/>
        <v/>
      </c>
      <c r="EH169" s="59" t="str">
        <f t="shared" si="380"/>
        <v/>
      </c>
      <c r="EI169" s="59" t="str">
        <f t="shared" si="381"/>
        <v/>
      </c>
      <c r="EJ169" s="59" t="str">
        <f t="shared" si="382"/>
        <v/>
      </c>
      <c r="EK169" s="59" t="str">
        <f t="shared" si="383"/>
        <v/>
      </c>
      <c r="EL169" s="59" t="str">
        <f t="shared" si="384"/>
        <v/>
      </c>
      <c r="EM169" s="59" t="str">
        <f t="shared" si="385"/>
        <v/>
      </c>
      <c r="EN169" s="59" t="str">
        <f t="shared" si="386"/>
        <v/>
      </c>
      <c r="EO169" s="59" t="str">
        <f t="shared" si="387"/>
        <v/>
      </c>
      <c r="EP169" s="59" t="str">
        <f t="shared" si="388"/>
        <v/>
      </c>
      <c r="EQ169" s="59" t="str">
        <f t="shared" si="389"/>
        <v/>
      </c>
      <c r="ER169" s="59" t="str">
        <f t="shared" si="390"/>
        <v/>
      </c>
      <c r="ES169" s="59" t="str">
        <f t="shared" si="391"/>
        <v/>
      </c>
      <c r="ET169" s="59" t="str">
        <f t="shared" si="392"/>
        <v/>
      </c>
      <c r="EU169" s="59" t="str">
        <f t="shared" si="393"/>
        <v/>
      </c>
      <c r="EV169" s="59" t="str">
        <f t="shared" si="394"/>
        <v/>
      </c>
      <c r="EW169" s="59" t="str">
        <f t="shared" si="395"/>
        <v/>
      </c>
      <c r="EX169" s="56">
        <f t="shared" si="351"/>
        <v>1222371.8</v>
      </c>
    </row>
    <row r="170" spans="1:154" x14ac:dyDescent="0.25">
      <c r="A170" s="2">
        <f t="shared" si="396"/>
        <v>169</v>
      </c>
      <c r="B170" s="2" t="s">
        <v>6</v>
      </c>
      <c r="C170" s="2" t="str">
        <f t="shared" si="352"/>
        <v>030201</v>
      </c>
      <c r="D170" s="2">
        <v>3</v>
      </c>
      <c r="E170" s="2">
        <v>2</v>
      </c>
      <c r="F170" s="2">
        <v>1</v>
      </c>
      <c r="G170" s="11" t="s">
        <v>19</v>
      </c>
      <c r="H170" s="4"/>
      <c r="I170" s="42" t="s">
        <v>59</v>
      </c>
      <c r="J170" s="9">
        <v>150.715</v>
      </c>
      <c r="K170" s="9"/>
      <c r="L170" s="10" t="s">
        <v>8</v>
      </c>
      <c r="M170" s="22" t="s">
        <v>176</v>
      </c>
      <c r="N170" s="7">
        <f t="shared" si="397"/>
        <v>1403717</v>
      </c>
      <c r="O170" s="8">
        <v>208</v>
      </c>
      <c r="P170" s="25">
        <v>41136</v>
      </c>
      <c r="Q170" s="8" t="str">
        <f t="shared" si="353"/>
        <v>2DA-AGO</v>
      </c>
      <c r="R170" s="26">
        <v>0.8</v>
      </c>
      <c r="S170" s="41" t="s">
        <v>34</v>
      </c>
      <c r="T170" s="8" t="s">
        <v>352</v>
      </c>
      <c r="U170" s="25"/>
      <c r="V170" s="7">
        <v>701858.5</v>
      </c>
      <c r="W170" s="7">
        <f t="shared" si="477"/>
        <v>336892.08</v>
      </c>
      <c r="X170" s="7">
        <f t="shared" si="355"/>
        <v>364966.42</v>
      </c>
      <c r="Y170" s="7">
        <v>0</v>
      </c>
      <c r="Z170" s="7">
        <f t="shared" si="356"/>
        <v>336892.08</v>
      </c>
      <c r="AA170" s="148" t="str">
        <f t="shared" si="357"/>
        <v>50%</v>
      </c>
      <c r="AB170" s="148">
        <f t="shared" si="358"/>
        <v>0.5</v>
      </c>
      <c r="AC170" s="25">
        <f ca="1">TODAY()-29</f>
        <v>41093</v>
      </c>
      <c r="AD170" s="25">
        <f t="shared" ref="AD170:AE170" ca="1" si="484">TODAY()-29</f>
        <v>41093</v>
      </c>
      <c r="AE170" s="25">
        <f t="shared" ca="1" si="484"/>
        <v>41093</v>
      </c>
      <c r="AF170" s="8"/>
      <c r="AG170" s="59" t="str">
        <f t="shared" ca="1" si="360"/>
        <v>NA</v>
      </c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59" t="str">
        <f t="shared" si="409"/>
        <v>NA</v>
      </c>
      <c r="AS170" s="59" t="str">
        <f t="shared" si="410"/>
        <v/>
      </c>
      <c r="AT170" s="59"/>
      <c r="AU170" s="59" t="str">
        <f t="shared" si="337"/>
        <v>ND</v>
      </c>
      <c r="AV170" s="66"/>
      <c r="AW170" s="66"/>
      <c r="AX170" s="66"/>
      <c r="AY170" s="66"/>
      <c r="AZ170" s="8"/>
      <c r="BA170" s="8" t="s">
        <v>37</v>
      </c>
      <c r="BB170" s="8"/>
      <c r="BC170" s="8"/>
      <c r="BD170" s="8"/>
      <c r="BE170" s="8"/>
      <c r="BF170" s="8"/>
      <c r="BG170" s="8"/>
      <c r="BH170" s="8"/>
      <c r="BI170" s="8"/>
      <c r="BJ170" s="8"/>
      <c r="BK170" s="59"/>
      <c r="BL170" s="59"/>
      <c r="BM170" s="59"/>
      <c r="BN170" s="164">
        <v>0.01</v>
      </c>
      <c r="BO170" s="165">
        <f t="shared" si="361"/>
        <v>4679.0566666666664</v>
      </c>
      <c r="BP170" s="165">
        <f t="shared" ref="BP170:BQ170" si="485">BO170</f>
        <v>4679.0566666666664</v>
      </c>
      <c r="BQ170" s="165">
        <f t="shared" si="485"/>
        <v>4679.0566666666664</v>
      </c>
      <c r="BR170" s="59"/>
      <c r="BS170" s="59"/>
      <c r="BT170" s="59"/>
      <c r="BU170" s="59"/>
      <c r="BV170" s="59" t="str">
        <f t="shared" si="402"/>
        <v>ND</v>
      </c>
      <c r="BW170" s="59" t="str">
        <f t="shared" si="403"/>
        <v>ND</v>
      </c>
      <c r="BX170" s="59" t="str">
        <f t="shared" si="404"/>
        <v>ND</v>
      </c>
      <c r="BY170" s="59" t="str">
        <f t="shared" si="405"/>
        <v>ND</v>
      </c>
      <c r="BZ170" s="59" t="str">
        <f t="shared" si="339"/>
        <v>NA</v>
      </c>
      <c r="CA170" s="59" t="str">
        <f t="shared" si="340"/>
        <v/>
      </c>
      <c r="CB170" s="59" t="str">
        <f t="shared" si="341"/>
        <v>NA</v>
      </c>
      <c r="CC170" s="59" t="str">
        <f t="shared" si="342"/>
        <v/>
      </c>
      <c r="CD170" s="59" t="str">
        <f t="shared" si="343"/>
        <v>NA</v>
      </c>
      <c r="CE170" s="59" t="str">
        <f t="shared" si="344"/>
        <v/>
      </c>
      <c r="CF170" s="59" t="str">
        <f t="shared" si="345"/>
        <v>NA</v>
      </c>
      <c r="CG170" s="59" t="str">
        <f t="shared" ca="1" si="346"/>
        <v>NA</v>
      </c>
      <c r="CH170" s="59" t="str">
        <f t="shared" ca="1" si="347"/>
        <v>NA</v>
      </c>
      <c r="CI170" s="59" t="str">
        <f t="shared" ca="1" si="348"/>
        <v>DE 26 A 29 DIAS</v>
      </c>
      <c r="CJ170" s="59" t="str">
        <f t="shared" ca="1" si="349"/>
        <v>DE 26 A 29 DIAS</v>
      </c>
      <c r="CK170" s="59" t="str">
        <f t="shared" ca="1" si="350"/>
        <v>DE 26 A 29 DIAS</v>
      </c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>
        <f t="shared" si="363"/>
        <v>0</v>
      </c>
      <c r="DH170" s="8">
        <f t="shared" si="364"/>
        <v>0</v>
      </c>
      <c r="DI170" s="8">
        <f t="shared" si="365"/>
        <v>0</v>
      </c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59" t="str">
        <f t="shared" si="366"/>
        <v>NA</v>
      </c>
      <c r="DU170" s="59" t="str">
        <f t="shared" si="367"/>
        <v>NA</v>
      </c>
      <c r="DV170" s="59" t="str">
        <f t="shared" si="368"/>
        <v>NA</v>
      </c>
      <c r="DW170" s="59" t="str">
        <f t="shared" si="369"/>
        <v>NA</v>
      </c>
      <c r="DX170" s="59" t="str">
        <f t="shared" si="370"/>
        <v>NA</v>
      </c>
      <c r="DY170" s="59" t="str">
        <f t="shared" si="371"/>
        <v>NA</v>
      </c>
      <c r="DZ170" s="59" t="str">
        <f t="shared" si="372"/>
        <v>NA</v>
      </c>
      <c r="EA170" s="59" t="str">
        <f t="shared" si="373"/>
        <v>NA</v>
      </c>
      <c r="EB170" s="59" t="str">
        <f t="shared" si="374"/>
        <v>NA</v>
      </c>
      <c r="EC170" s="59" t="str">
        <f t="shared" si="375"/>
        <v>NA</v>
      </c>
      <c r="ED170" s="59" t="str">
        <f t="shared" si="376"/>
        <v/>
      </c>
      <c r="EE170" s="59" t="str">
        <f t="shared" si="377"/>
        <v/>
      </c>
      <c r="EF170" s="59" t="str">
        <f t="shared" si="378"/>
        <v/>
      </c>
      <c r="EG170" s="59" t="str">
        <f t="shared" si="379"/>
        <v/>
      </c>
      <c r="EH170" s="59" t="str">
        <f t="shared" si="380"/>
        <v/>
      </c>
      <c r="EI170" s="59" t="str">
        <f t="shared" si="381"/>
        <v/>
      </c>
      <c r="EJ170" s="59" t="str">
        <f t="shared" si="382"/>
        <v/>
      </c>
      <c r="EK170" s="59" t="str">
        <f t="shared" si="383"/>
        <v/>
      </c>
      <c r="EL170" s="59" t="str">
        <f t="shared" si="384"/>
        <v/>
      </c>
      <c r="EM170" s="59" t="str">
        <f t="shared" si="385"/>
        <v/>
      </c>
      <c r="EN170" s="59" t="str">
        <f t="shared" si="386"/>
        <v/>
      </c>
      <c r="EO170" s="59" t="str">
        <f t="shared" si="387"/>
        <v/>
      </c>
      <c r="EP170" s="59" t="str">
        <f t="shared" si="388"/>
        <v/>
      </c>
      <c r="EQ170" s="59" t="str">
        <f t="shared" si="389"/>
        <v/>
      </c>
      <c r="ER170" s="59" t="str">
        <f t="shared" si="390"/>
        <v/>
      </c>
      <c r="ES170" s="59" t="str">
        <f t="shared" si="391"/>
        <v/>
      </c>
      <c r="ET170" s="59" t="str">
        <f t="shared" si="392"/>
        <v/>
      </c>
      <c r="EU170" s="59" t="str">
        <f t="shared" si="393"/>
        <v/>
      </c>
      <c r="EV170" s="59" t="str">
        <f t="shared" si="394"/>
        <v/>
      </c>
      <c r="EW170" s="59" t="str">
        <f t="shared" si="395"/>
        <v/>
      </c>
      <c r="EX170" s="56">
        <f t="shared" si="351"/>
        <v>1403717</v>
      </c>
    </row>
    <row r="171" spans="1:154" x14ac:dyDescent="0.25">
      <c r="A171" s="2">
        <f t="shared" si="396"/>
        <v>170</v>
      </c>
      <c r="B171" s="2" t="s">
        <v>6</v>
      </c>
      <c r="C171" s="2" t="str">
        <f t="shared" si="352"/>
        <v>030202</v>
      </c>
      <c r="D171" s="13">
        <v>3</v>
      </c>
      <c r="E171" s="13">
        <v>2</v>
      </c>
      <c r="F171" s="13">
        <v>2</v>
      </c>
      <c r="G171" s="11" t="s">
        <v>19</v>
      </c>
      <c r="H171" s="4"/>
      <c r="I171" s="42" t="s">
        <v>58</v>
      </c>
      <c r="J171" s="15">
        <v>84.649000000000001</v>
      </c>
      <c r="K171" s="156"/>
      <c r="L171" s="6" t="s">
        <v>306</v>
      </c>
      <c r="M171" s="22" t="s">
        <v>176</v>
      </c>
      <c r="N171" s="7">
        <f t="shared" si="397"/>
        <v>1143666.2</v>
      </c>
      <c r="O171" s="8">
        <v>209</v>
      </c>
      <c r="P171" s="25">
        <v>41136</v>
      </c>
      <c r="Q171" s="8" t="str">
        <f t="shared" si="353"/>
        <v>2DA-AGO</v>
      </c>
      <c r="R171" s="26">
        <v>0.6</v>
      </c>
      <c r="S171" s="41" t="s">
        <v>34</v>
      </c>
      <c r="T171" s="8" t="s">
        <v>352</v>
      </c>
      <c r="U171" s="8"/>
      <c r="V171" s="7">
        <v>571833.1</v>
      </c>
      <c r="W171" s="7">
        <f t="shared" si="477"/>
        <v>274479.88799999998</v>
      </c>
      <c r="X171" s="7">
        <f t="shared" si="355"/>
        <v>297353.212</v>
      </c>
      <c r="Y171" s="7">
        <v>0</v>
      </c>
      <c r="Z171" s="7">
        <f t="shared" si="356"/>
        <v>274479.88799999998</v>
      </c>
      <c r="AA171" s="148" t="str">
        <f t="shared" si="357"/>
        <v>50%</v>
      </c>
      <c r="AB171" s="148">
        <f t="shared" si="358"/>
        <v>0.5</v>
      </c>
      <c r="AC171" s="25">
        <f ca="1">TODAY()-30</f>
        <v>41092</v>
      </c>
      <c r="AD171" s="25">
        <f t="shared" ref="AD171:AE171" ca="1" si="486">TODAY()-30</f>
        <v>41092</v>
      </c>
      <c r="AE171" s="25">
        <f t="shared" ca="1" si="486"/>
        <v>41092</v>
      </c>
      <c r="AF171" s="8"/>
      <c r="AG171" s="59" t="str">
        <f t="shared" ca="1" si="360"/>
        <v>NA</v>
      </c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59" t="str">
        <f t="shared" si="409"/>
        <v>NA</v>
      </c>
      <c r="AS171" s="59" t="str">
        <f t="shared" si="410"/>
        <v/>
      </c>
      <c r="AT171" s="59"/>
      <c r="AU171" s="59" t="str">
        <f t="shared" si="337"/>
        <v>ND</v>
      </c>
      <c r="AV171" s="66"/>
      <c r="AW171" s="66"/>
      <c r="AX171" s="66"/>
      <c r="AY171" s="66"/>
      <c r="AZ171" s="8"/>
      <c r="BA171" s="8" t="s">
        <v>37</v>
      </c>
      <c r="BB171" s="8"/>
      <c r="BC171" s="8"/>
      <c r="BD171" s="8"/>
      <c r="BE171" s="8"/>
      <c r="BF171" s="8"/>
      <c r="BG171" s="8"/>
      <c r="BH171" s="8"/>
      <c r="BI171" s="8"/>
      <c r="BJ171" s="8"/>
      <c r="BK171" s="59"/>
      <c r="BL171" s="59"/>
      <c r="BM171" s="59"/>
      <c r="BN171" s="164">
        <v>0.01</v>
      </c>
      <c r="BO171" s="165">
        <f t="shared" si="361"/>
        <v>3812.2206666666666</v>
      </c>
      <c r="BP171" s="165">
        <f t="shared" ref="BP171:BQ171" si="487">BO171</f>
        <v>3812.2206666666666</v>
      </c>
      <c r="BQ171" s="165">
        <f t="shared" si="487"/>
        <v>3812.2206666666666</v>
      </c>
      <c r="BR171" s="59"/>
      <c r="BS171" s="59"/>
      <c r="BT171" s="59"/>
      <c r="BU171" s="59"/>
      <c r="BV171" s="59" t="str">
        <f t="shared" si="402"/>
        <v>ND</v>
      </c>
      <c r="BW171" s="59" t="str">
        <f t="shared" si="403"/>
        <v>ND</v>
      </c>
      <c r="BX171" s="59" t="str">
        <f t="shared" si="404"/>
        <v>ND</v>
      </c>
      <c r="BY171" s="59" t="str">
        <f t="shared" si="405"/>
        <v>ND</v>
      </c>
      <c r="BZ171" s="59" t="str">
        <f t="shared" si="339"/>
        <v>NA</v>
      </c>
      <c r="CA171" s="59" t="str">
        <f t="shared" si="340"/>
        <v/>
      </c>
      <c r="CB171" s="59" t="str">
        <f t="shared" si="341"/>
        <v>NA</v>
      </c>
      <c r="CC171" s="59" t="str">
        <f t="shared" si="342"/>
        <v/>
      </c>
      <c r="CD171" s="59" t="str">
        <f t="shared" si="343"/>
        <v>NA</v>
      </c>
      <c r="CE171" s="59" t="str">
        <f t="shared" si="344"/>
        <v/>
      </c>
      <c r="CF171" s="59" t="str">
        <f t="shared" si="345"/>
        <v>NA</v>
      </c>
      <c r="CG171" s="59" t="str">
        <f t="shared" ca="1" si="346"/>
        <v>NA</v>
      </c>
      <c r="CH171" s="59" t="str">
        <f t="shared" ca="1" si="347"/>
        <v>NA</v>
      </c>
      <c r="CI171" s="59" t="str">
        <f t="shared" ca="1" si="348"/>
        <v>30 DIAS</v>
      </c>
      <c r="CJ171" s="59" t="str">
        <f t="shared" ca="1" si="349"/>
        <v>30 DIAS</v>
      </c>
      <c r="CK171" s="59" t="str">
        <f t="shared" ca="1" si="350"/>
        <v>30 DIAS</v>
      </c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>
        <f t="shared" si="363"/>
        <v>0</v>
      </c>
      <c r="DH171" s="8">
        <f t="shared" si="364"/>
        <v>0</v>
      </c>
      <c r="DI171" s="8">
        <f t="shared" si="365"/>
        <v>0</v>
      </c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59" t="str">
        <f t="shared" si="366"/>
        <v>NA</v>
      </c>
      <c r="DU171" s="59" t="str">
        <f t="shared" si="367"/>
        <v>NA</v>
      </c>
      <c r="DV171" s="59" t="str">
        <f t="shared" si="368"/>
        <v>NA</v>
      </c>
      <c r="DW171" s="59" t="str">
        <f t="shared" si="369"/>
        <v>NA</v>
      </c>
      <c r="DX171" s="59" t="str">
        <f t="shared" si="370"/>
        <v>NA</v>
      </c>
      <c r="DY171" s="59" t="str">
        <f t="shared" si="371"/>
        <v>NA</v>
      </c>
      <c r="DZ171" s="59" t="str">
        <f t="shared" si="372"/>
        <v>NA</v>
      </c>
      <c r="EA171" s="59" t="str">
        <f t="shared" si="373"/>
        <v>NA</v>
      </c>
      <c r="EB171" s="59" t="str">
        <f t="shared" si="374"/>
        <v>NA</v>
      </c>
      <c r="EC171" s="59" t="str">
        <f t="shared" si="375"/>
        <v>NA</v>
      </c>
      <c r="ED171" s="59" t="str">
        <f t="shared" si="376"/>
        <v/>
      </c>
      <c r="EE171" s="59" t="str">
        <f t="shared" si="377"/>
        <v/>
      </c>
      <c r="EF171" s="59" t="str">
        <f t="shared" si="378"/>
        <v/>
      </c>
      <c r="EG171" s="59" t="str">
        <f t="shared" si="379"/>
        <v/>
      </c>
      <c r="EH171" s="59" t="str">
        <f t="shared" si="380"/>
        <v/>
      </c>
      <c r="EI171" s="59" t="str">
        <f t="shared" si="381"/>
        <v/>
      </c>
      <c r="EJ171" s="59" t="str">
        <f t="shared" si="382"/>
        <v/>
      </c>
      <c r="EK171" s="59" t="str">
        <f t="shared" si="383"/>
        <v/>
      </c>
      <c r="EL171" s="59" t="str">
        <f t="shared" si="384"/>
        <v/>
      </c>
      <c r="EM171" s="59" t="str">
        <f t="shared" si="385"/>
        <v/>
      </c>
      <c r="EN171" s="59" t="str">
        <f t="shared" si="386"/>
        <v/>
      </c>
      <c r="EO171" s="59" t="str">
        <f t="shared" si="387"/>
        <v/>
      </c>
      <c r="EP171" s="59" t="str">
        <f t="shared" si="388"/>
        <v/>
      </c>
      <c r="EQ171" s="59" t="str">
        <f t="shared" si="389"/>
        <v/>
      </c>
      <c r="ER171" s="59" t="str">
        <f t="shared" si="390"/>
        <v/>
      </c>
      <c r="ES171" s="59" t="str">
        <f t="shared" si="391"/>
        <v/>
      </c>
      <c r="ET171" s="59" t="str">
        <f t="shared" si="392"/>
        <v/>
      </c>
      <c r="EU171" s="59" t="str">
        <f t="shared" si="393"/>
        <v/>
      </c>
      <c r="EV171" s="59" t="str">
        <f t="shared" si="394"/>
        <v/>
      </c>
      <c r="EW171" s="59" t="str">
        <f t="shared" si="395"/>
        <v/>
      </c>
      <c r="EX171" s="56">
        <f t="shared" si="351"/>
        <v>1143666.2</v>
      </c>
    </row>
    <row r="172" spans="1:154" x14ac:dyDescent="0.25">
      <c r="A172" s="2">
        <f t="shared" si="396"/>
        <v>171</v>
      </c>
      <c r="B172" s="2" t="s">
        <v>6</v>
      </c>
      <c r="C172" s="2" t="str">
        <f t="shared" si="352"/>
        <v>030203</v>
      </c>
      <c r="D172" s="2">
        <v>3</v>
      </c>
      <c r="E172" s="2">
        <v>2</v>
      </c>
      <c r="F172" s="2">
        <v>3</v>
      </c>
      <c r="G172" s="11" t="s">
        <v>19</v>
      </c>
      <c r="H172" s="4"/>
      <c r="I172" s="42" t="s">
        <v>58</v>
      </c>
      <c r="J172" s="9">
        <v>81.147000000000006</v>
      </c>
      <c r="K172" s="5"/>
      <c r="L172" s="6" t="s">
        <v>306</v>
      </c>
      <c r="M172" s="22" t="s">
        <v>176</v>
      </c>
      <c r="N172" s="7">
        <f t="shared" si="397"/>
        <v>1130358.6000000001</v>
      </c>
      <c r="O172" s="8">
        <v>210</v>
      </c>
      <c r="P172" s="25">
        <v>41136</v>
      </c>
      <c r="Q172" s="8" t="str">
        <f t="shared" si="353"/>
        <v>2DA-AGO</v>
      </c>
      <c r="R172" s="26">
        <v>0.6</v>
      </c>
      <c r="S172" s="41" t="s">
        <v>34</v>
      </c>
      <c r="T172" s="8" t="s">
        <v>352</v>
      </c>
      <c r="U172" s="8"/>
      <c r="V172" s="7">
        <v>565179.30000000005</v>
      </c>
      <c r="W172" s="7">
        <f t="shared" si="477"/>
        <v>271286.06400000001</v>
      </c>
      <c r="X172" s="7">
        <f t="shared" si="355"/>
        <v>293893.23600000003</v>
      </c>
      <c r="Y172" s="7">
        <v>0</v>
      </c>
      <c r="Z172" s="7">
        <f t="shared" si="356"/>
        <v>271286.06400000001</v>
      </c>
      <c r="AA172" s="148" t="str">
        <f t="shared" si="357"/>
        <v>50%</v>
      </c>
      <c r="AB172" s="148">
        <f t="shared" si="358"/>
        <v>0.5</v>
      </c>
      <c r="AC172" s="25">
        <f ca="1">TODAY()-34</f>
        <v>41088</v>
      </c>
      <c r="AD172" s="25">
        <f t="shared" ref="AD172:AE172" ca="1" si="488">TODAY()-34</f>
        <v>41088</v>
      </c>
      <c r="AE172" s="25">
        <f t="shared" ca="1" si="488"/>
        <v>41088</v>
      </c>
      <c r="AF172" s="8"/>
      <c r="AG172" s="59" t="str">
        <f t="shared" ca="1" si="360"/>
        <v>NA</v>
      </c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59" t="str">
        <f t="shared" si="409"/>
        <v>NA</v>
      </c>
      <c r="AS172" s="59" t="str">
        <f t="shared" si="410"/>
        <v/>
      </c>
      <c r="AT172" s="59"/>
      <c r="AU172" s="59" t="str">
        <f t="shared" si="337"/>
        <v>ND</v>
      </c>
      <c r="AV172" s="66"/>
      <c r="AW172" s="66"/>
      <c r="AX172" s="66"/>
      <c r="AY172" s="66"/>
      <c r="AZ172" s="8"/>
      <c r="BA172" s="8" t="s">
        <v>37</v>
      </c>
      <c r="BB172" s="8"/>
      <c r="BC172" s="8"/>
      <c r="BD172" s="8"/>
      <c r="BE172" s="8"/>
      <c r="BF172" s="8"/>
      <c r="BG172" s="8"/>
      <c r="BH172" s="8"/>
      <c r="BI172" s="8"/>
      <c r="BJ172" s="8"/>
      <c r="BK172" s="59"/>
      <c r="BL172" s="59"/>
      <c r="BM172" s="59"/>
      <c r="BN172" s="164">
        <v>0.01</v>
      </c>
      <c r="BO172" s="165">
        <f t="shared" si="361"/>
        <v>3767.8620000000005</v>
      </c>
      <c r="BP172" s="165">
        <f t="shared" ref="BP172:BQ172" si="489">BO172</f>
        <v>3767.8620000000005</v>
      </c>
      <c r="BQ172" s="165">
        <f t="shared" si="489"/>
        <v>3767.8620000000005</v>
      </c>
      <c r="BR172" s="59"/>
      <c r="BS172" s="59"/>
      <c r="BT172" s="59"/>
      <c r="BU172" s="59"/>
      <c r="BV172" s="59" t="str">
        <f t="shared" si="402"/>
        <v>ND</v>
      </c>
      <c r="BW172" s="59" t="str">
        <f t="shared" si="403"/>
        <v>ND</v>
      </c>
      <c r="BX172" s="59" t="str">
        <f t="shared" si="404"/>
        <v>ND</v>
      </c>
      <c r="BY172" s="59" t="str">
        <f t="shared" si="405"/>
        <v>ND</v>
      </c>
      <c r="BZ172" s="59" t="str">
        <f t="shared" si="339"/>
        <v>NA</v>
      </c>
      <c r="CA172" s="59" t="str">
        <f t="shared" si="340"/>
        <v/>
      </c>
      <c r="CB172" s="59" t="str">
        <f t="shared" si="341"/>
        <v>NA</v>
      </c>
      <c r="CC172" s="59" t="str">
        <f t="shared" si="342"/>
        <v/>
      </c>
      <c r="CD172" s="59" t="str">
        <f t="shared" si="343"/>
        <v>NA</v>
      </c>
      <c r="CE172" s="59" t="str">
        <f t="shared" si="344"/>
        <v/>
      </c>
      <c r="CF172" s="59" t="str">
        <f t="shared" si="345"/>
        <v>NA</v>
      </c>
      <c r="CG172" s="59" t="str">
        <f t="shared" ca="1" si="346"/>
        <v>NA</v>
      </c>
      <c r="CH172" s="59" t="str">
        <f t="shared" ca="1" si="347"/>
        <v>NA</v>
      </c>
      <c r="CI172" s="59" t="str">
        <f t="shared" ca="1" si="348"/>
        <v>DE 31 A 35 DIAS</v>
      </c>
      <c r="CJ172" s="59" t="str">
        <f t="shared" ca="1" si="349"/>
        <v>DE 31 A 35 DIAS</v>
      </c>
      <c r="CK172" s="59" t="str">
        <f t="shared" ca="1" si="350"/>
        <v>DE 31 A 35 DIAS</v>
      </c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>
        <f t="shared" si="363"/>
        <v>0</v>
      </c>
      <c r="DH172" s="8">
        <f t="shared" si="364"/>
        <v>0</v>
      </c>
      <c r="DI172" s="8">
        <f t="shared" si="365"/>
        <v>0</v>
      </c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59" t="str">
        <f t="shared" si="366"/>
        <v>NA</v>
      </c>
      <c r="DU172" s="59" t="str">
        <f t="shared" si="367"/>
        <v>NA</v>
      </c>
      <c r="DV172" s="59" t="str">
        <f t="shared" si="368"/>
        <v>NA</v>
      </c>
      <c r="DW172" s="59" t="str">
        <f t="shared" si="369"/>
        <v>NA</v>
      </c>
      <c r="DX172" s="59" t="str">
        <f t="shared" si="370"/>
        <v>NA</v>
      </c>
      <c r="DY172" s="59" t="str">
        <f t="shared" si="371"/>
        <v>NA</v>
      </c>
      <c r="DZ172" s="59" t="str">
        <f t="shared" si="372"/>
        <v>NA</v>
      </c>
      <c r="EA172" s="59" t="str">
        <f t="shared" si="373"/>
        <v>NA</v>
      </c>
      <c r="EB172" s="59" t="str">
        <f t="shared" si="374"/>
        <v>NA</v>
      </c>
      <c r="EC172" s="59" t="str">
        <f t="shared" si="375"/>
        <v>NA</v>
      </c>
      <c r="ED172" s="59" t="str">
        <f t="shared" si="376"/>
        <v/>
      </c>
      <c r="EE172" s="59" t="str">
        <f t="shared" si="377"/>
        <v/>
      </c>
      <c r="EF172" s="59" t="str">
        <f t="shared" si="378"/>
        <v/>
      </c>
      <c r="EG172" s="59" t="str">
        <f t="shared" si="379"/>
        <v/>
      </c>
      <c r="EH172" s="59" t="str">
        <f t="shared" si="380"/>
        <v/>
      </c>
      <c r="EI172" s="59" t="str">
        <f t="shared" si="381"/>
        <v/>
      </c>
      <c r="EJ172" s="59" t="str">
        <f t="shared" si="382"/>
        <v/>
      </c>
      <c r="EK172" s="59" t="str">
        <f t="shared" si="383"/>
        <v/>
      </c>
      <c r="EL172" s="59" t="str">
        <f t="shared" si="384"/>
        <v/>
      </c>
      <c r="EM172" s="59" t="str">
        <f t="shared" si="385"/>
        <v/>
      </c>
      <c r="EN172" s="59" t="str">
        <f t="shared" si="386"/>
        <v/>
      </c>
      <c r="EO172" s="59" t="str">
        <f t="shared" si="387"/>
        <v/>
      </c>
      <c r="EP172" s="59" t="str">
        <f t="shared" si="388"/>
        <v/>
      </c>
      <c r="EQ172" s="59" t="str">
        <f t="shared" si="389"/>
        <v/>
      </c>
      <c r="ER172" s="59" t="str">
        <f t="shared" si="390"/>
        <v/>
      </c>
      <c r="ES172" s="59" t="str">
        <f t="shared" si="391"/>
        <v/>
      </c>
      <c r="ET172" s="59" t="str">
        <f t="shared" si="392"/>
        <v/>
      </c>
      <c r="EU172" s="59" t="str">
        <f t="shared" si="393"/>
        <v/>
      </c>
      <c r="EV172" s="59" t="str">
        <f t="shared" si="394"/>
        <v/>
      </c>
      <c r="EW172" s="59" t="str">
        <f t="shared" si="395"/>
        <v/>
      </c>
      <c r="EX172" s="56">
        <f t="shared" si="351"/>
        <v>1130358.6000000001</v>
      </c>
    </row>
    <row r="173" spans="1:154" x14ac:dyDescent="0.25">
      <c r="A173" s="2">
        <f t="shared" si="396"/>
        <v>172</v>
      </c>
      <c r="B173" s="2" t="s">
        <v>6</v>
      </c>
      <c r="C173" s="2" t="str">
        <f t="shared" si="352"/>
        <v>030204</v>
      </c>
      <c r="D173" s="2">
        <v>3</v>
      </c>
      <c r="E173" s="2">
        <v>2</v>
      </c>
      <c r="F173" s="2">
        <v>4</v>
      </c>
      <c r="G173" s="11" t="s">
        <v>19</v>
      </c>
      <c r="H173" s="4"/>
      <c r="I173" s="42" t="s">
        <v>58</v>
      </c>
      <c r="J173" s="9">
        <v>112.72499999999999</v>
      </c>
      <c r="K173" s="9"/>
      <c r="L173" s="10" t="s">
        <v>8</v>
      </c>
      <c r="M173" s="22" t="s">
        <v>176</v>
      </c>
      <c r="N173" s="7">
        <f t="shared" si="397"/>
        <v>1259355</v>
      </c>
      <c r="O173" s="8">
        <v>211</v>
      </c>
      <c r="P173" s="25">
        <v>41136</v>
      </c>
      <c r="Q173" s="8" t="str">
        <f t="shared" si="353"/>
        <v>2DA-AGO</v>
      </c>
      <c r="R173" s="26">
        <v>0.6</v>
      </c>
      <c r="S173" s="41" t="s">
        <v>34</v>
      </c>
      <c r="T173" s="8" t="s">
        <v>352</v>
      </c>
      <c r="U173" s="8"/>
      <c r="V173" s="7">
        <v>629677.5</v>
      </c>
      <c r="W173" s="7">
        <f t="shared" si="477"/>
        <v>302245.2</v>
      </c>
      <c r="X173" s="7">
        <f t="shared" si="355"/>
        <v>327432.3</v>
      </c>
      <c r="Y173" s="7">
        <v>0</v>
      </c>
      <c r="Z173" s="7">
        <f t="shared" si="356"/>
        <v>302245.2</v>
      </c>
      <c r="AA173" s="148" t="str">
        <f t="shared" si="357"/>
        <v>50%</v>
      </c>
      <c r="AB173" s="148">
        <f t="shared" si="358"/>
        <v>0.5</v>
      </c>
      <c r="AC173" s="25">
        <f ca="1">TODAY()-39</f>
        <v>41083</v>
      </c>
      <c r="AD173" s="25">
        <f t="shared" ref="AD173:AE173" ca="1" si="490">TODAY()-39</f>
        <v>41083</v>
      </c>
      <c r="AE173" s="25">
        <f t="shared" ca="1" si="490"/>
        <v>41083</v>
      </c>
      <c r="AF173" s="8"/>
      <c r="AG173" s="59" t="str">
        <f t="shared" ca="1" si="360"/>
        <v>NA</v>
      </c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59" t="str">
        <f t="shared" si="409"/>
        <v>NA</v>
      </c>
      <c r="AS173" s="59" t="str">
        <f t="shared" si="410"/>
        <v/>
      </c>
      <c r="AT173" s="59"/>
      <c r="AU173" s="59" t="str">
        <f t="shared" si="337"/>
        <v>ND</v>
      </c>
      <c r="AV173" s="66"/>
      <c r="AW173" s="66"/>
      <c r="AX173" s="66"/>
      <c r="AY173" s="66"/>
      <c r="AZ173" s="8"/>
      <c r="BA173" s="8" t="s">
        <v>37</v>
      </c>
      <c r="BB173" s="8"/>
      <c r="BC173" s="8"/>
      <c r="BD173" s="8"/>
      <c r="BE173" s="8"/>
      <c r="BF173" s="8"/>
      <c r="BG173" s="8"/>
      <c r="BH173" s="8"/>
      <c r="BI173" s="8"/>
      <c r="BJ173" s="8"/>
      <c r="BK173" s="59"/>
      <c r="BL173" s="59"/>
      <c r="BM173" s="59"/>
      <c r="BN173" s="164">
        <v>0.01</v>
      </c>
      <c r="BO173" s="165">
        <f t="shared" si="361"/>
        <v>4197.8500000000004</v>
      </c>
      <c r="BP173" s="165">
        <f t="shared" ref="BP173:BQ173" si="491">BO173</f>
        <v>4197.8500000000004</v>
      </c>
      <c r="BQ173" s="165">
        <f t="shared" si="491"/>
        <v>4197.8500000000004</v>
      </c>
      <c r="BR173" s="59"/>
      <c r="BS173" s="59"/>
      <c r="BT173" s="59"/>
      <c r="BU173" s="59"/>
      <c r="BV173" s="59" t="str">
        <f t="shared" si="402"/>
        <v>ND</v>
      </c>
      <c r="BW173" s="59" t="str">
        <f t="shared" si="403"/>
        <v>ND</v>
      </c>
      <c r="BX173" s="59" t="str">
        <f t="shared" si="404"/>
        <v>ND</v>
      </c>
      <c r="BY173" s="59" t="str">
        <f t="shared" si="405"/>
        <v>ND</v>
      </c>
      <c r="BZ173" s="59" t="str">
        <f t="shared" si="339"/>
        <v>NA</v>
      </c>
      <c r="CA173" s="59" t="str">
        <f t="shared" si="340"/>
        <v/>
      </c>
      <c r="CB173" s="59" t="str">
        <f t="shared" si="341"/>
        <v>NA</v>
      </c>
      <c r="CC173" s="59" t="str">
        <f t="shared" si="342"/>
        <v/>
      </c>
      <c r="CD173" s="59" t="str">
        <f t="shared" si="343"/>
        <v>NA</v>
      </c>
      <c r="CE173" s="59" t="str">
        <f t="shared" si="344"/>
        <v/>
      </c>
      <c r="CF173" s="59" t="str">
        <f t="shared" si="345"/>
        <v>NA</v>
      </c>
      <c r="CG173" s="59" t="str">
        <f t="shared" ca="1" si="346"/>
        <v>NA</v>
      </c>
      <c r="CH173" s="59" t="str">
        <f t="shared" ca="1" si="347"/>
        <v>NA</v>
      </c>
      <c r="CI173" s="59" t="str">
        <f t="shared" ca="1" si="348"/>
        <v>DE 36 A 45 DIAS</v>
      </c>
      <c r="CJ173" s="59" t="str">
        <f t="shared" ca="1" si="349"/>
        <v>DE 36 A 45 DIAS</v>
      </c>
      <c r="CK173" s="59" t="str">
        <f t="shared" ca="1" si="350"/>
        <v>DE 36 A 45 DIAS</v>
      </c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>
        <f t="shared" si="363"/>
        <v>0</v>
      </c>
      <c r="DH173" s="8">
        <f t="shared" si="364"/>
        <v>0</v>
      </c>
      <c r="DI173" s="8">
        <f t="shared" si="365"/>
        <v>0</v>
      </c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59" t="str">
        <f t="shared" si="366"/>
        <v>NA</v>
      </c>
      <c r="DU173" s="59" t="str">
        <f t="shared" si="367"/>
        <v>NA</v>
      </c>
      <c r="DV173" s="59" t="str">
        <f t="shared" si="368"/>
        <v>NA</v>
      </c>
      <c r="DW173" s="59" t="str">
        <f t="shared" si="369"/>
        <v>NA</v>
      </c>
      <c r="DX173" s="59" t="str">
        <f t="shared" si="370"/>
        <v>NA</v>
      </c>
      <c r="DY173" s="59" t="str">
        <f t="shared" si="371"/>
        <v>NA</v>
      </c>
      <c r="DZ173" s="59" t="str">
        <f t="shared" si="372"/>
        <v>NA</v>
      </c>
      <c r="EA173" s="59" t="str">
        <f t="shared" si="373"/>
        <v>NA</v>
      </c>
      <c r="EB173" s="59" t="str">
        <f t="shared" si="374"/>
        <v>NA</v>
      </c>
      <c r="EC173" s="59" t="str">
        <f t="shared" si="375"/>
        <v>NA</v>
      </c>
      <c r="ED173" s="59" t="str">
        <f t="shared" si="376"/>
        <v/>
      </c>
      <c r="EE173" s="59" t="str">
        <f t="shared" si="377"/>
        <v/>
      </c>
      <c r="EF173" s="59" t="str">
        <f t="shared" si="378"/>
        <v/>
      </c>
      <c r="EG173" s="59" t="str">
        <f t="shared" si="379"/>
        <v/>
      </c>
      <c r="EH173" s="59" t="str">
        <f t="shared" si="380"/>
        <v/>
      </c>
      <c r="EI173" s="59" t="str">
        <f t="shared" si="381"/>
        <v/>
      </c>
      <c r="EJ173" s="59" t="str">
        <f t="shared" si="382"/>
        <v/>
      </c>
      <c r="EK173" s="59" t="str">
        <f t="shared" si="383"/>
        <v/>
      </c>
      <c r="EL173" s="59" t="str">
        <f t="shared" si="384"/>
        <v/>
      </c>
      <c r="EM173" s="59" t="str">
        <f t="shared" si="385"/>
        <v/>
      </c>
      <c r="EN173" s="59" t="str">
        <f t="shared" si="386"/>
        <v/>
      </c>
      <c r="EO173" s="59" t="str">
        <f t="shared" si="387"/>
        <v/>
      </c>
      <c r="EP173" s="59" t="str">
        <f t="shared" si="388"/>
        <v/>
      </c>
      <c r="EQ173" s="59" t="str">
        <f t="shared" si="389"/>
        <v/>
      </c>
      <c r="ER173" s="59" t="str">
        <f t="shared" si="390"/>
        <v/>
      </c>
      <c r="ES173" s="59" t="str">
        <f t="shared" si="391"/>
        <v/>
      </c>
      <c r="ET173" s="59" t="str">
        <f t="shared" si="392"/>
        <v/>
      </c>
      <c r="EU173" s="59" t="str">
        <f t="shared" si="393"/>
        <v/>
      </c>
      <c r="EV173" s="59" t="str">
        <f t="shared" si="394"/>
        <v/>
      </c>
      <c r="EW173" s="59" t="str">
        <f t="shared" si="395"/>
        <v/>
      </c>
      <c r="EX173" s="56">
        <f t="shared" si="351"/>
        <v>1259355</v>
      </c>
    </row>
    <row r="174" spans="1:154" x14ac:dyDescent="0.25">
      <c r="A174" s="2">
        <f t="shared" si="396"/>
        <v>173</v>
      </c>
      <c r="B174" s="2" t="s">
        <v>6</v>
      </c>
      <c r="C174" s="2" t="str">
        <f t="shared" si="352"/>
        <v>030205</v>
      </c>
      <c r="D174" s="2">
        <v>3</v>
      </c>
      <c r="E174" s="2">
        <v>2</v>
      </c>
      <c r="F174" s="2">
        <v>5</v>
      </c>
      <c r="G174" s="11" t="s">
        <v>19</v>
      </c>
      <c r="H174" s="4"/>
      <c r="I174" s="42" t="s">
        <v>58</v>
      </c>
      <c r="J174" s="9">
        <v>116.286</v>
      </c>
      <c r="K174" s="5"/>
      <c r="L174" s="6" t="s">
        <v>306</v>
      </c>
      <c r="M174" s="22" t="s">
        <v>176</v>
      </c>
      <c r="N174" s="7">
        <f t="shared" si="397"/>
        <v>1263886.8</v>
      </c>
      <c r="O174" s="8">
        <v>212</v>
      </c>
      <c r="P174" s="25">
        <v>41136</v>
      </c>
      <c r="Q174" s="8" t="str">
        <f t="shared" si="353"/>
        <v>2DA-AGO</v>
      </c>
      <c r="R174" s="26">
        <v>0.6</v>
      </c>
      <c r="S174" s="41" t="s">
        <v>34</v>
      </c>
      <c r="T174" s="8" t="s">
        <v>352</v>
      </c>
      <c r="U174" s="8"/>
      <c r="V174" s="7">
        <v>631943.4</v>
      </c>
      <c r="W174" s="7">
        <f t="shared" si="477"/>
        <v>303332.83199999999</v>
      </c>
      <c r="X174" s="7">
        <f t="shared" si="355"/>
        <v>328610.56800000003</v>
      </c>
      <c r="Y174" s="7">
        <v>0</v>
      </c>
      <c r="Z174" s="7">
        <f t="shared" si="356"/>
        <v>303332.83199999999</v>
      </c>
      <c r="AA174" s="148" t="str">
        <f t="shared" si="357"/>
        <v>50%</v>
      </c>
      <c r="AB174" s="148">
        <f t="shared" si="358"/>
        <v>0.5</v>
      </c>
      <c r="AC174" s="25">
        <f ca="1">TODAY()-45</f>
        <v>41077</v>
      </c>
      <c r="AD174" s="25">
        <f t="shared" ref="AD174:AE174" ca="1" si="492">TODAY()-45</f>
        <v>41077</v>
      </c>
      <c r="AE174" s="25">
        <f t="shared" ca="1" si="492"/>
        <v>41077</v>
      </c>
      <c r="AF174" s="8"/>
      <c r="AG174" s="59" t="str">
        <f t="shared" ca="1" si="360"/>
        <v>NA</v>
      </c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59" t="str">
        <f t="shared" si="409"/>
        <v>NA</v>
      </c>
      <c r="AS174" s="59" t="str">
        <f t="shared" si="410"/>
        <v/>
      </c>
      <c r="AT174" s="59"/>
      <c r="AU174" s="59" t="str">
        <f t="shared" si="337"/>
        <v>ND</v>
      </c>
      <c r="AV174" s="66"/>
      <c r="AW174" s="66"/>
      <c r="AX174" s="66"/>
      <c r="AY174" s="66"/>
      <c r="AZ174" s="8"/>
      <c r="BA174" s="8" t="s">
        <v>37</v>
      </c>
      <c r="BB174" s="8"/>
      <c r="BC174" s="8"/>
      <c r="BD174" s="8"/>
      <c r="BE174" s="8"/>
      <c r="BF174" s="8"/>
      <c r="BG174" s="8"/>
      <c r="BH174" s="8"/>
      <c r="BI174" s="8"/>
      <c r="BJ174" s="8"/>
      <c r="BK174" s="59"/>
      <c r="BL174" s="59"/>
      <c r="BM174" s="59"/>
      <c r="BN174" s="164">
        <v>0.01</v>
      </c>
      <c r="BO174" s="165">
        <f t="shared" si="361"/>
        <v>4212.9560000000001</v>
      </c>
      <c r="BP174" s="165">
        <f t="shared" ref="BP174:BQ174" si="493">BO174</f>
        <v>4212.9560000000001</v>
      </c>
      <c r="BQ174" s="165">
        <f t="shared" si="493"/>
        <v>4212.9560000000001</v>
      </c>
      <c r="BR174" s="59"/>
      <c r="BS174" s="59"/>
      <c r="BT174" s="59"/>
      <c r="BU174" s="59"/>
      <c r="BV174" s="59" t="str">
        <f t="shared" si="402"/>
        <v>ND</v>
      </c>
      <c r="BW174" s="59" t="str">
        <f t="shared" si="403"/>
        <v>ND</v>
      </c>
      <c r="BX174" s="59" t="str">
        <f t="shared" si="404"/>
        <v>ND</v>
      </c>
      <c r="BY174" s="59" t="str">
        <f t="shared" si="405"/>
        <v>ND</v>
      </c>
      <c r="BZ174" s="59" t="str">
        <f t="shared" si="339"/>
        <v>NA</v>
      </c>
      <c r="CA174" s="59" t="str">
        <f t="shared" si="340"/>
        <v/>
      </c>
      <c r="CB174" s="59" t="str">
        <f t="shared" si="341"/>
        <v>NA</v>
      </c>
      <c r="CC174" s="59" t="str">
        <f t="shared" si="342"/>
        <v/>
      </c>
      <c r="CD174" s="59" t="str">
        <f t="shared" si="343"/>
        <v>NA</v>
      </c>
      <c r="CE174" s="59" t="str">
        <f t="shared" si="344"/>
        <v/>
      </c>
      <c r="CF174" s="59" t="str">
        <f t="shared" si="345"/>
        <v>NA</v>
      </c>
      <c r="CG174" s="59" t="str">
        <f t="shared" ca="1" si="346"/>
        <v>NA</v>
      </c>
      <c r="CH174" s="59" t="str">
        <f t="shared" ca="1" si="347"/>
        <v>NA</v>
      </c>
      <c r="CI174" s="59" t="str">
        <f t="shared" ca="1" si="348"/>
        <v>DE 36 A 45 DIAS</v>
      </c>
      <c r="CJ174" s="59" t="str">
        <f t="shared" ca="1" si="349"/>
        <v>DE 36 A 45 DIAS</v>
      </c>
      <c r="CK174" s="59" t="str">
        <f t="shared" ca="1" si="350"/>
        <v>DE 36 A 45 DIAS</v>
      </c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>
        <f t="shared" si="363"/>
        <v>0</v>
      </c>
      <c r="DH174" s="8">
        <f t="shared" si="364"/>
        <v>0</v>
      </c>
      <c r="DI174" s="8">
        <f t="shared" si="365"/>
        <v>0</v>
      </c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59" t="str">
        <f t="shared" si="366"/>
        <v>NA</v>
      </c>
      <c r="DU174" s="59" t="str">
        <f t="shared" si="367"/>
        <v>NA</v>
      </c>
      <c r="DV174" s="59" t="str">
        <f t="shared" si="368"/>
        <v>NA</v>
      </c>
      <c r="DW174" s="59" t="str">
        <f t="shared" si="369"/>
        <v>NA</v>
      </c>
      <c r="DX174" s="59" t="str">
        <f t="shared" si="370"/>
        <v>NA</v>
      </c>
      <c r="DY174" s="59" t="str">
        <f t="shared" si="371"/>
        <v>NA</v>
      </c>
      <c r="DZ174" s="59" t="str">
        <f t="shared" si="372"/>
        <v>NA</v>
      </c>
      <c r="EA174" s="59" t="str">
        <f t="shared" si="373"/>
        <v>NA</v>
      </c>
      <c r="EB174" s="59" t="str">
        <f t="shared" si="374"/>
        <v>NA</v>
      </c>
      <c r="EC174" s="59" t="str">
        <f t="shared" si="375"/>
        <v>NA</v>
      </c>
      <c r="ED174" s="59" t="str">
        <f t="shared" si="376"/>
        <v/>
      </c>
      <c r="EE174" s="59" t="str">
        <f t="shared" si="377"/>
        <v/>
      </c>
      <c r="EF174" s="59" t="str">
        <f t="shared" si="378"/>
        <v/>
      </c>
      <c r="EG174" s="59" t="str">
        <f t="shared" si="379"/>
        <v/>
      </c>
      <c r="EH174" s="59" t="str">
        <f t="shared" si="380"/>
        <v/>
      </c>
      <c r="EI174" s="59" t="str">
        <f t="shared" si="381"/>
        <v/>
      </c>
      <c r="EJ174" s="59" t="str">
        <f t="shared" si="382"/>
        <v/>
      </c>
      <c r="EK174" s="59" t="str">
        <f t="shared" si="383"/>
        <v/>
      </c>
      <c r="EL174" s="59" t="str">
        <f t="shared" si="384"/>
        <v/>
      </c>
      <c r="EM174" s="59" t="str">
        <f t="shared" si="385"/>
        <v/>
      </c>
      <c r="EN174" s="59" t="str">
        <f t="shared" si="386"/>
        <v/>
      </c>
      <c r="EO174" s="59" t="str">
        <f t="shared" si="387"/>
        <v/>
      </c>
      <c r="EP174" s="59" t="str">
        <f t="shared" si="388"/>
        <v/>
      </c>
      <c r="EQ174" s="59" t="str">
        <f t="shared" si="389"/>
        <v/>
      </c>
      <c r="ER174" s="59" t="str">
        <f t="shared" si="390"/>
        <v/>
      </c>
      <c r="ES174" s="59" t="str">
        <f t="shared" si="391"/>
        <v/>
      </c>
      <c r="ET174" s="59" t="str">
        <f t="shared" si="392"/>
        <v/>
      </c>
      <c r="EU174" s="59" t="str">
        <f t="shared" si="393"/>
        <v/>
      </c>
      <c r="EV174" s="59" t="str">
        <f t="shared" si="394"/>
        <v/>
      </c>
      <c r="EW174" s="59" t="str">
        <f t="shared" si="395"/>
        <v/>
      </c>
      <c r="EX174" s="56">
        <f t="shared" si="351"/>
        <v>1263886.8</v>
      </c>
    </row>
    <row r="175" spans="1:154" x14ac:dyDescent="0.25">
      <c r="A175" s="2">
        <f t="shared" si="396"/>
        <v>174</v>
      </c>
      <c r="B175" s="2" t="s">
        <v>6</v>
      </c>
      <c r="C175" s="2" t="str">
        <f t="shared" si="352"/>
        <v>030206</v>
      </c>
      <c r="D175" s="2">
        <v>3</v>
      </c>
      <c r="E175" s="2">
        <v>2</v>
      </c>
      <c r="F175" s="2">
        <v>6</v>
      </c>
      <c r="G175" s="11" t="s">
        <v>19</v>
      </c>
      <c r="H175" s="4"/>
      <c r="I175" s="42" t="s">
        <v>58</v>
      </c>
      <c r="J175" s="9">
        <v>80</v>
      </c>
      <c r="K175" s="9"/>
      <c r="L175" s="10" t="s">
        <v>8</v>
      </c>
      <c r="M175" s="22" t="s">
        <v>176</v>
      </c>
      <c r="N175" s="7">
        <f t="shared" si="397"/>
        <v>1135000</v>
      </c>
      <c r="O175" s="8">
        <v>213</v>
      </c>
      <c r="P175" s="25">
        <v>41136</v>
      </c>
      <c r="Q175" s="8" t="str">
        <f t="shared" si="353"/>
        <v>2DA-AGO</v>
      </c>
      <c r="R175" s="26">
        <v>0.6</v>
      </c>
      <c r="S175" s="41" t="s">
        <v>34</v>
      </c>
      <c r="T175" s="8" t="s">
        <v>352</v>
      </c>
      <c r="U175" s="8"/>
      <c r="V175" s="7">
        <v>567500</v>
      </c>
      <c r="W175" s="7">
        <f t="shared" si="477"/>
        <v>272400</v>
      </c>
      <c r="X175" s="7">
        <f t="shared" si="355"/>
        <v>295100</v>
      </c>
      <c r="Y175" s="7">
        <v>0</v>
      </c>
      <c r="Z175" s="7">
        <f t="shared" si="356"/>
        <v>272400</v>
      </c>
      <c r="AA175" s="148" t="str">
        <f t="shared" si="357"/>
        <v>50%</v>
      </c>
      <c r="AB175" s="148">
        <f t="shared" si="358"/>
        <v>0.5</v>
      </c>
      <c r="AC175" s="25">
        <f ca="1">TODAY()-50</f>
        <v>41072</v>
      </c>
      <c r="AD175" s="25">
        <f t="shared" ref="AD175:AE175" ca="1" si="494">TODAY()-50</f>
        <v>41072</v>
      </c>
      <c r="AE175" s="25">
        <f t="shared" ca="1" si="494"/>
        <v>41072</v>
      </c>
      <c r="AF175" s="8"/>
      <c r="AG175" s="59" t="str">
        <f t="shared" ca="1" si="360"/>
        <v>NA</v>
      </c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59" t="str">
        <f t="shared" si="409"/>
        <v>NA</v>
      </c>
      <c r="AS175" s="59" t="str">
        <f t="shared" si="410"/>
        <v/>
      </c>
      <c r="AT175" s="59"/>
      <c r="AU175" s="59" t="str">
        <f t="shared" si="337"/>
        <v>ND</v>
      </c>
      <c r="AV175" s="66"/>
      <c r="AW175" s="66"/>
      <c r="AX175" s="66"/>
      <c r="AY175" s="66"/>
      <c r="AZ175" s="8"/>
      <c r="BA175" s="8" t="s">
        <v>37</v>
      </c>
      <c r="BB175" s="8"/>
      <c r="BC175" s="8"/>
      <c r="BD175" s="8"/>
      <c r="BE175" s="8"/>
      <c r="BF175" s="8"/>
      <c r="BG175" s="8"/>
      <c r="BH175" s="8"/>
      <c r="BI175" s="8"/>
      <c r="BJ175" s="8"/>
      <c r="BK175" s="59"/>
      <c r="BL175" s="59"/>
      <c r="BM175" s="59"/>
      <c r="BN175" s="164">
        <v>0.01</v>
      </c>
      <c r="BO175" s="165">
        <f t="shared" si="361"/>
        <v>3783.3333333333335</v>
      </c>
      <c r="BP175" s="165">
        <f t="shared" ref="BP175:BQ175" si="495">BO175</f>
        <v>3783.3333333333335</v>
      </c>
      <c r="BQ175" s="165">
        <f t="shared" si="495"/>
        <v>3783.3333333333335</v>
      </c>
      <c r="BR175" s="59"/>
      <c r="BS175" s="59"/>
      <c r="BT175" s="59"/>
      <c r="BU175" s="59"/>
      <c r="BV175" s="59" t="str">
        <f t="shared" si="402"/>
        <v>ND</v>
      </c>
      <c r="BW175" s="59" t="str">
        <f t="shared" si="403"/>
        <v>ND</v>
      </c>
      <c r="BX175" s="59" t="str">
        <f t="shared" si="404"/>
        <v>ND</v>
      </c>
      <c r="BY175" s="59" t="str">
        <f t="shared" si="405"/>
        <v>ND</v>
      </c>
      <c r="BZ175" s="59" t="str">
        <f t="shared" si="339"/>
        <v>NA</v>
      </c>
      <c r="CA175" s="59" t="str">
        <f t="shared" si="340"/>
        <v/>
      </c>
      <c r="CB175" s="59" t="str">
        <f t="shared" si="341"/>
        <v>NA</v>
      </c>
      <c r="CC175" s="59" t="str">
        <f t="shared" si="342"/>
        <v/>
      </c>
      <c r="CD175" s="59" t="str">
        <f t="shared" si="343"/>
        <v>NA</v>
      </c>
      <c r="CE175" s="59" t="str">
        <f t="shared" si="344"/>
        <v/>
      </c>
      <c r="CF175" s="59" t="str">
        <f t="shared" si="345"/>
        <v>NA</v>
      </c>
      <c r="CG175" s="59" t="str">
        <f t="shared" ca="1" si="346"/>
        <v>NA</v>
      </c>
      <c r="CH175" s="59" t="str">
        <f t="shared" ca="1" si="347"/>
        <v>NA</v>
      </c>
      <c r="CI175" s="59" t="str">
        <f t="shared" ca="1" si="348"/>
        <v>MAYOR A 45 DIAS</v>
      </c>
      <c r="CJ175" s="59" t="str">
        <f t="shared" ca="1" si="349"/>
        <v>MAYOR A 45 DIAS</v>
      </c>
      <c r="CK175" s="59" t="str">
        <f t="shared" ca="1" si="350"/>
        <v>MAYOR A 45 DIAS</v>
      </c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>
        <f t="shared" si="363"/>
        <v>0</v>
      </c>
      <c r="DH175" s="8">
        <f t="shared" si="364"/>
        <v>0</v>
      </c>
      <c r="DI175" s="8">
        <f t="shared" si="365"/>
        <v>0</v>
      </c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59" t="str">
        <f t="shared" si="366"/>
        <v>NA</v>
      </c>
      <c r="DU175" s="59" t="str">
        <f t="shared" si="367"/>
        <v>NA</v>
      </c>
      <c r="DV175" s="59" t="str">
        <f t="shared" si="368"/>
        <v>NA</v>
      </c>
      <c r="DW175" s="59" t="str">
        <f t="shared" si="369"/>
        <v>NA</v>
      </c>
      <c r="DX175" s="59" t="str">
        <f t="shared" si="370"/>
        <v>NA</v>
      </c>
      <c r="DY175" s="59" t="str">
        <f t="shared" si="371"/>
        <v>NA</v>
      </c>
      <c r="DZ175" s="59" t="str">
        <f t="shared" si="372"/>
        <v>NA</v>
      </c>
      <c r="EA175" s="59" t="str">
        <f t="shared" si="373"/>
        <v>NA</v>
      </c>
      <c r="EB175" s="59" t="str">
        <f t="shared" si="374"/>
        <v>NA</v>
      </c>
      <c r="EC175" s="59" t="str">
        <f t="shared" si="375"/>
        <v>NA</v>
      </c>
      <c r="ED175" s="59" t="str">
        <f t="shared" si="376"/>
        <v/>
      </c>
      <c r="EE175" s="59" t="str">
        <f t="shared" si="377"/>
        <v/>
      </c>
      <c r="EF175" s="59" t="str">
        <f t="shared" si="378"/>
        <v/>
      </c>
      <c r="EG175" s="59" t="str">
        <f t="shared" si="379"/>
        <v/>
      </c>
      <c r="EH175" s="59" t="str">
        <f t="shared" si="380"/>
        <v/>
      </c>
      <c r="EI175" s="59" t="str">
        <f t="shared" si="381"/>
        <v/>
      </c>
      <c r="EJ175" s="59" t="str">
        <f t="shared" si="382"/>
        <v/>
      </c>
      <c r="EK175" s="59" t="str">
        <f t="shared" si="383"/>
        <v/>
      </c>
      <c r="EL175" s="59" t="str">
        <f t="shared" si="384"/>
        <v/>
      </c>
      <c r="EM175" s="59" t="str">
        <f t="shared" si="385"/>
        <v/>
      </c>
      <c r="EN175" s="59" t="str">
        <f t="shared" si="386"/>
        <v/>
      </c>
      <c r="EO175" s="59" t="str">
        <f t="shared" si="387"/>
        <v/>
      </c>
      <c r="EP175" s="59" t="str">
        <f t="shared" si="388"/>
        <v/>
      </c>
      <c r="EQ175" s="59" t="str">
        <f t="shared" si="389"/>
        <v/>
      </c>
      <c r="ER175" s="59" t="str">
        <f t="shared" si="390"/>
        <v/>
      </c>
      <c r="ES175" s="59" t="str">
        <f t="shared" si="391"/>
        <v/>
      </c>
      <c r="ET175" s="59" t="str">
        <f t="shared" si="392"/>
        <v/>
      </c>
      <c r="EU175" s="59" t="str">
        <f t="shared" si="393"/>
        <v/>
      </c>
      <c r="EV175" s="59" t="str">
        <f t="shared" si="394"/>
        <v/>
      </c>
      <c r="EW175" s="59" t="str">
        <f t="shared" si="395"/>
        <v/>
      </c>
      <c r="EX175" s="56">
        <f t="shared" si="351"/>
        <v>1135000</v>
      </c>
    </row>
    <row r="176" spans="1:154" x14ac:dyDescent="0.25">
      <c r="A176" s="2">
        <f t="shared" si="396"/>
        <v>175</v>
      </c>
      <c r="B176" s="2" t="s">
        <v>6</v>
      </c>
      <c r="C176" s="2" t="str">
        <f t="shared" si="352"/>
        <v>030207</v>
      </c>
      <c r="D176" s="13">
        <v>3</v>
      </c>
      <c r="E176" s="13">
        <v>2</v>
      </c>
      <c r="F176" s="13">
        <v>7</v>
      </c>
      <c r="G176" s="11" t="s">
        <v>19</v>
      </c>
      <c r="H176" s="4"/>
      <c r="I176" s="42" t="s">
        <v>58</v>
      </c>
      <c r="J176" s="15">
        <v>80</v>
      </c>
      <c r="K176" s="156"/>
      <c r="L176" s="6" t="s">
        <v>306</v>
      </c>
      <c r="M176" s="22" t="s">
        <v>176</v>
      </c>
      <c r="N176" s="7">
        <f t="shared" si="397"/>
        <v>1126000</v>
      </c>
      <c r="O176" s="8">
        <v>214</v>
      </c>
      <c r="P176" s="25">
        <v>41136</v>
      </c>
      <c r="Q176" s="8" t="str">
        <f t="shared" si="353"/>
        <v>2DA-AGO</v>
      </c>
      <c r="R176" s="26">
        <v>0.6</v>
      </c>
      <c r="S176" s="41" t="s">
        <v>34</v>
      </c>
      <c r="T176" s="8" t="s">
        <v>352</v>
      </c>
      <c r="U176" s="8"/>
      <c r="V176" s="7">
        <v>563000</v>
      </c>
      <c r="W176" s="7">
        <f t="shared" si="477"/>
        <v>270240</v>
      </c>
      <c r="X176" s="7">
        <f t="shared" si="355"/>
        <v>292760</v>
      </c>
      <c r="Y176" s="7">
        <v>0</v>
      </c>
      <c r="Z176" s="7">
        <f t="shared" si="356"/>
        <v>270240</v>
      </c>
      <c r="AA176" s="148" t="str">
        <f t="shared" si="357"/>
        <v>50%</v>
      </c>
      <c r="AB176" s="148">
        <f t="shared" si="358"/>
        <v>0.5</v>
      </c>
      <c r="AC176" s="25">
        <f ca="1">TODAY()-4</f>
        <v>41118</v>
      </c>
      <c r="AD176" s="25">
        <f t="shared" ref="AD176:AE176" ca="1" si="496">TODAY()-4</f>
        <v>41118</v>
      </c>
      <c r="AE176" s="25">
        <f t="shared" ca="1" si="496"/>
        <v>41118</v>
      </c>
      <c r="AF176" s="8"/>
      <c r="AG176" s="59" t="str">
        <f t="shared" ca="1" si="360"/>
        <v>NA</v>
      </c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59" t="str">
        <f t="shared" si="409"/>
        <v>NA</v>
      </c>
      <c r="AS176" s="59" t="str">
        <f t="shared" si="410"/>
        <v/>
      </c>
      <c r="AT176" s="59"/>
      <c r="AU176" s="59" t="str">
        <f t="shared" si="337"/>
        <v>ND</v>
      </c>
      <c r="AV176" s="66"/>
      <c r="AW176" s="66"/>
      <c r="AX176" s="66"/>
      <c r="AY176" s="66"/>
      <c r="AZ176" s="8"/>
      <c r="BA176" s="8" t="s">
        <v>37</v>
      </c>
      <c r="BB176" s="8"/>
      <c r="BC176" s="8"/>
      <c r="BD176" s="8"/>
      <c r="BE176" s="8"/>
      <c r="BF176" s="8"/>
      <c r="BG176" s="8"/>
      <c r="BH176" s="8"/>
      <c r="BI176" s="8"/>
      <c r="BJ176" s="8"/>
      <c r="BK176" s="59"/>
      <c r="BL176" s="59"/>
      <c r="BM176" s="59"/>
      <c r="BN176" s="164">
        <v>0.01</v>
      </c>
      <c r="BO176" s="165">
        <f t="shared" si="361"/>
        <v>3753.3333333333335</v>
      </c>
      <c r="BP176" s="165">
        <f t="shared" ref="BP176:BQ176" si="497">BO176</f>
        <v>3753.3333333333335</v>
      </c>
      <c r="BQ176" s="165">
        <f t="shared" si="497"/>
        <v>3753.3333333333335</v>
      </c>
      <c r="BR176" s="59"/>
      <c r="BS176" s="59"/>
      <c r="BT176" s="59"/>
      <c r="BU176" s="59"/>
      <c r="BV176" s="59" t="str">
        <f t="shared" si="402"/>
        <v>ND</v>
      </c>
      <c r="BW176" s="59" t="str">
        <f t="shared" si="403"/>
        <v>ND</v>
      </c>
      <c r="BX176" s="59" t="str">
        <f t="shared" si="404"/>
        <v>ND</v>
      </c>
      <c r="BY176" s="59" t="str">
        <f t="shared" si="405"/>
        <v>ND</v>
      </c>
      <c r="BZ176" s="59" t="str">
        <f t="shared" si="339"/>
        <v>NA</v>
      </c>
      <c r="CA176" s="59" t="str">
        <f t="shared" si="340"/>
        <v/>
      </c>
      <c r="CB176" s="59" t="str">
        <f t="shared" si="341"/>
        <v>NA</v>
      </c>
      <c r="CC176" s="59" t="str">
        <f t="shared" si="342"/>
        <v/>
      </c>
      <c r="CD176" s="59" t="str">
        <f t="shared" si="343"/>
        <v>NA</v>
      </c>
      <c r="CE176" s="59" t="str">
        <f t="shared" si="344"/>
        <v/>
      </c>
      <c r="CF176" s="59" t="str">
        <f t="shared" si="345"/>
        <v>NA</v>
      </c>
      <c r="CG176" s="59" t="str">
        <f t="shared" ca="1" si="346"/>
        <v>NA</v>
      </c>
      <c r="CH176" s="59" t="str">
        <f t="shared" ca="1" si="347"/>
        <v>NA</v>
      </c>
      <c r="CI176" s="59" t="str">
        <f t="shared" ca="1" si="348"/>
        <v>HASTA 5 DIAS</v>
      </c>
      <c r="CJ176" s="59" t="str">
        <f t="shared" ca="1" si="349"/>
        <v>HASTA 5 DIAS</v>
      </c>
      <c r="CK176" s="59" t="str">
        <f t="shared" ca="1" si="350"/>
        <v>HASTA 5 DIAS</v>
      </c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>
        <f t="shared" si="363"/>
        <v>0</v>
      </c>
      <c r="DH176" s="8">
        <f t="shared" si="364"/>
        <v>0</v>
      </c>
      <c r="DI176" s="8">
        <f t="shared" si="365"/>
        <v>0</v>
      </c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59" t="str">
        <f t="shared" si="366"/>
        <v>NA</v>
      </c>
      <c r="DU176" s="59" t="str">
        <f t="shared" si="367"/>
        <v>NA</v>
      </c>
      <c r="DV176" s="59" t="str">
        <f t="shared" si="368"/>
        <v>NA</v>
      </c>
      <c r="DW176" s="59" t="str">
        <f t="shared" si="369"/>
        <v>NA</v>
      </c>
      <c r="DX176" s="59" t="str">
        <f t="shared" si="370"/>
        <v>NA</v>
      </c>
      <c r="DY176" s="59" t="str">
        <f t="shared" si="371"/>
        <v>NA</v>
      </c>
      <c r="DZ176" s="59" t="str">
        <f t="shared" si="372"/>
        <v>NA</v>
      </c>
      <c r="EA176" s="59" t="str">
        <f t="shared" si="373"/>
        <v>NA</v>
      </c>
      <c r="EB176" s="59" t="str">
        <f t="shared" si="374"/>
        <v>NA</v>
      </c>
      <c r="EC176" s="59" t="str">
        <f t="shared" si="375"/>
        <v>NA</v>
      </c>
      <c r="ED176" s="59" t="str">
        <f t="shared" si="376"/>
        <v/>
      </c>
      <c r="EE176" s="59" t="str">
        <f t="shared" si="377"/>
        <v/>
      </c>
      <c r="EF176" s="59" t="str">
        <f t="shared" si="378"/>
        <v/>
      </c>
      <c r="EG176" s="59" t="str">
        <f t="shared" si="379"/>
        <v/>
      </c>
      <c r="EH176" s="59" t="str">
        <f t="shared" si="380"/>
        <v/>
      </c>
      <c r="EI176" s="59" t="str">
        <f t="shared" si="381"/>
        <v/>
      </c>
      <c r="EJ176" s="59" t="str">
        <f t="shared" si="382"/>
        <v/>
      </c>
      <c r="EK176" s="59" t="str">
        <f t="shared" si="383"/>
        <v/>
      </c>
      <c r="EL176" s="59" t="str">
        <f t="shared" si="384"/>
        <v/>
      </c>
      <c r="EM176" s="59" t="str">
        <f t="shared" si="385"/>
        <v/>
      </c>
      <c r="EN176" s="59" t="str">
        <f t="shared" si="386"/>
        <v/>
      </c>
      <c r="EO176" s="59" t="str">
        <f t="shared" si="387"/>
        <v/>
      </c>
      <c r="EP176" s="59" t="str">
        <f t="shared" si="388"/>
        <v/>
      </c>
      <c r="EQ176" s="59" t="str">
        <f t="shared" si="389"/>
        <v/>
      </c>
      <c r="ER176" s="59" t="str">
        <f t="shared" si="390"/>
        <v/>
      </c>
      <c r="ES176" s="59" t="str">
        <f t="shared" si="391"/>
        <v/>
      </c>
      <c r="ET176" s="59" t="str">
        <f t="shared" si="392"/>
        <v/>
      </c>
      <c r="EU176" s="59" t="str">
        <f t="shared" si="393"/>
        <v/>
      </c>
      <c r="EV176" s="59" t="str">
        <f t="shared" si="394"/>
        <v/>
      </c>
      <c r="EW176" s="59" t="str">
        <f t="shared" si="395"/>
        <v/>
      </c>
      <c r="EX176" s="56">
        <f t="shared" si="351"/>
        <v>1126000</v>
      </c>
    </row>
    <row r="177" spans="1:154" x14ac:dyDescent="0.25">
      <c r="A177" s="2">
        <f t="shared" si="396"/>
        <v>176</v>
      </c>
      <c r="B177" s="2" t="s">
        <v>6</v>
      </c>
      <c r="C177" s="2" t="str">
        <f t="shared" si="352"/>
        <v>030208</v>
      </c>
      <c r="D177" s="2">
        <v>3</v>
      </c>
      <c r="E177" s="2">
        <v>2</v>
      </c>
      <c r="F177" s="2">
        <v>8</v>
      </c>
      <c r="G177" s="11" t="s">
        <v>19</v>
      </c>
      <c r="H177" s="4"/>
      <c r="I177" s="42" t="s">
        <v>58</v>
      </c>
      <c r="J177" s="9">
        <v>80</v>
      </c>
      <c r="K177" s="5"/>
      <c r="L177" s="6" t="s">
        <v>306</v>
      </c>
      <c r="M177" s="22" t="s">
        <v>176</v>
      </c>
      <c r="N177" s="7">
        <f t="shared" si="397"/>
        <v>1126000</v>
      </c>
      <c r="O177" s="8">
        <v>215</v>
      </c>
      <c r="P177" s="25">
        <v>41136</v>
      </c>
      <c r="Q177" s="8" t="str">
        <f t="shared" si="353"/>
        <v>2DA-AGO</v>
      </c>
      <c r="R177" s="26">
        <v>0.6</v>
      </c>
      <c r="S177" s="41" t="s">
        <v>34</v>
      </c>
      <c r="T177" s="8" t="s">
        <v>352</v>
      </c>
      <c r="U177" s="8"/>
      <c r="V177" s="7">
        <v>563000</v>
      </c>
      <c r="W177" s="7">
        <f t="shared" si="477"/>
        <v>270240</v>
      </c>
      <c r="X177" s="7">
        <f t="shared" si="355"/>
        <v>292760</v>
      </c>
      <c r="Y177" s="7">
        <v>0</v>
      </c>
      <c r="Z177" s="7">
        <f t="shared" si="356"/>
        <v>270240</v>
      </c>
      <c r="AA177" s="148" t="str">
        <f t="shared" si="357"/>
        <v>50%</v>
      </c>
      <c r="AB177" s="148">
        <f t="shared" si="358"/>
        <v>0.5</v>
      </c>
      <c r="AC177" s="25">
        <f ca="1">TODAY()-9</f>
        <v>41113</v>
      </c>
      <c r="AD177" s="25">
        <f t="shared" ref="AD177:AE177" ca="1" si="498">TODAY()-9</f>
        <v>41113</v>
      </c>
      <c r="AE177" s="25">
        <f t="shared" ca="1" si="498"/>
        <v>41113</v>
      </c>
      <c r="AF177" s="8"/>
      <c r="AG177" s="59" t="str">
        <f t="shared" ca="1" si="360"/>
        <v>NA</v>
      </c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59" t="str">
        <f t="shared" si="409"/>
        <v>NA</v>
      </c>
      <c r="AS177" s="59" t="str">
        <f t="shared" si="410"/>
        <v/>
      </c>
      <c r="AT177" s="59"/>
      <c r="AU177" s="59" t="str">
        <f t="shared" si="337"/>
        <v>ND</v>
      </c>
      <c r="AV177" s="66"/>
      <c r="AW177" s="66"/>
      <c r="AX177" s="66"/>
      <c r="AY177" s="66"/>
      <c r="AZ177" s="8"/>
      <c r="BA177" s="8" t="s">
        <v>37</v>
      </c>
      <c r="BB177" s="8"/>
      <c r="BC177" s="8"/>
      <c r="BD177" s="8"/>
      <c r="BE177" s="8"/>
      <c r="BF177" s="8"/>
      <c r="BG177" s="8"/>
      <c r="BH177" s="8"/>
      <c r="BI177" s="8"/>
      <c r="BJ177" s="8"/>
      <c r="BK177" s="59"/>
      <c r="BL177" s="59"/>
      <c r="BM177" s="59"/>
      <c r="BN177" s="164">
        <v>0.01</v>
      </c>
      <c r="BO177" s="165">
        <f t="shared" si="361"/>
        <v>3753.3333333333335</v>
      </c>
      <c r="BP177" s="165">
        <f t="shared" ref="BP177:BQ177" si="499">BO177</f>
        <v>3753.3333333333335</v>
      </c>
      <c r="BQ177" s="165">
        <f t="shared" si="499"/>
        <v>3753.3333333333335</v>
      </c>
      <c r="BR177" s="59"/>
      <c r="BS177" s="59"/>
      <c r="BT177" s="59"/>
      <c r="BU177" s="59"/>
      <c r="BV177" s="59" t="str">
        <f t="shared" si="402"/>
        <v>ND</v>
      </c>
      <c r="BW177" s="59" t="str">
        <f t="shared" si="403"/>
        <v>ND</v>
      </c>
      <c r="BX177" s="59" t="str">
        <f t="shared" si="404"/>
        <v>ND</v>
      </c>
      <c r="BY177" s="59" t="str">
        <f t="shared" si="405"/>
        <v>ND</v>
      </c>
      <c r="BZ177" s="59" t="str">
        <f t="shared" si="339"/>
        <v>NA</v>
      </c>
      <c r="CA177" s="59" t="str">
        <f t="shared" si="340"/>
        <v/>
      </c>
      <c r="CB177" s="59" t="str">
        <f t="shared" si="341"/>
        <v>NA</v>
      </c>
      <c r="CC177" s="59" t="str">
        <f t="shared" si="342"/>
        <v/>
      </c>
      <c r="CD177" s="59" t="str">
        <f t="shared" si="343"/>
        <v>NA</v>
      </c>
      <c r="CE177" s="59" t="str">
        <f t="shared" si="344"/>
        <v/>
      </c>
      <c r="CF177" s="59" t="str">
        <f t="shared" si="345"/>
        <v>NA</v>
      </c>
      <c r="CG177" s="59" t="str">
        <f t="shared" ca="1" si="346"/>
        <v>NA</v>
      </c>
      <c r="CH177" s="59" t="str">
        <f t="shared" ca="1" si="347"/>
        <v>NA</v>
      </c>
      <c r="CI177" s="59" t="str">
        <f t="shared" ca="1" si="348"/>
        <v>DE 6 A 10 DIAS</v>
      </c>
      <c r="CJ177" s="59" t="str">
        <f t="shared" ca="1" si="349"/>
        <v>DE 6 A 10 DIAS</v>
      </c>
      <c r="CK177" s="59" t="str">
        <f t="shared" ca="1" si="350"/>
        <v>DE 6 A 10 DIAS</v>
      </c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>
        <f t="shared" si="363"/>
        <v>0</v>
      </c>
      <c r="DH177" s="8">
        <f t="shared" si="364"/>
        <v>0</v>
      </c>
      <c r="DI177" s="8">
        <f t="shared" si="365"/>
        <v>0</v>
      </c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59" t="str">
        <f t="shared" si="366"/>
        <v>NA</v>
      </c>
      <c r="DU177" s="59" t="str">
        <f t="shared" si="367"/>
        <v>NA</v>
      </c>
      <c r="DV177" s="59" t="str">
        <f t="shared" si="368"/>
        <v>NA</v>
      </c>
      <c r="DW177" s="59" t="str">
        <f t="shared" si="369"/>
        <v>NA</v>
      </c>
      <c r="DX177" s="59" t="str">
        <f t="shared" si="370"/>
        <v>NA</v>
      </c>
      <c r="DY177" s="59" t="str">
        <f t="shared" si="371"/>
        <v>NA</v>
      </c>
      <c r="DZ177" s="59" t="str">
        <f t="shared" si="372"/>
        <v>NA</v>
      </c>
      <c r="EA177" s="59" t="str">
        <f t="shared" si="373"/>
        <v>NA</v>
      </c>
      <c r="EB177" s="59" t="str">
        <f t="shared" si="374"/>
        <v>NA</v>
      </c>
      <c r="EC177" s="59" t="str">
        <f t="shared" si="375"/>
        <v>NA</v>
      </c>
      <c r="ED177" s="59" t="str">
        <f t="shared" si="376"/>
        <v/>
      </c>
      <c r="EE177" s="59" t="str">
        <f t="shared" si="377"/>
        <v/>
      </c>
      <c r="EF177" s="59" t="str">
        <f t="shared" si="378"/>
        <v/>
      </c>
      <c r="EG177" s="59" t="str">
        <f t="shared" si="379"/>
        <v/>
      </c>
      <c r="EH177" s="59" t="str">
        <f t="shared" si="380"/>
        <v/>
      </c>
      <c r="EI177" s="59" t="str">
        <f t="shared" si="381"/>
        <v/>
      </c>
      <c r="EJ177" s="59" t="str">
        <f t="shared" si="382"/>
        <v/>
      </c>
      <c r="EK177" s="59" t="str">
        <f t="shared" si="383"/>
        <v/>
      </c>
      <c r="EL177" s="59" t="str">
        <f t="shared" si="384"/>
        <v/>
      </c>
      <c r="EM177" s="59" t="str">
        <f t="shared" si="385"/>
        <v/>
      </c>
      <c r="EN177" s="59" t="str">
        <f t="shared" si="386"/>
        <v/>
      </c>
      <c r="EO177" s="59" t="str">
        <f t="shared" si="387"/>
        <v/>
      </c>
      <c r="EP177" s="59" t="str">
        <f t="shared" si="388"/>
        <v/>
      </c>
      <c r="EQ177" s="59" t="str">
        <f t="shared" si="389"/>
        <v/>
      </c>
      <c r="ER177" s="59" t="str">
        <f t="shared" si="390"/>
        <v/>
      </c>
      <c r="ES177" s="59" t="str">
        <f t="shared" si="391"/>
        <v/>
      </c>
      <c r="ET177" s="59" t="str">
        <f t="shared" si="392"/>
        <v/>
      </c>
      <c r="EU177" s="59" t="str">
        <f t="shared" si="393"/>
        <v/>
      </c>
      <c r="EV177" s="59" t="str">
        <f t="shared" si="394"/>
        <v/>
      </c>
      <c r="EW177" s="59" t="str">
        <f t="shared" si="395"/>
        <v/>
      </c>
      <c r="EX177" s="56">
        <f t="shared" si="351"/>
        <v>1126000</v>
      </c>
    </row>
    <row r="178" spans="1:154" x14ac:dyDescent="0.25">
      <c r="A178" s="2">
        <f t="shared" si="396"/>
        <v>177</v>
      </c>
      <c r="B178" s="2" t="s">
        <v>6</v>
      </c>
      <c r="C178" s="2" t="str">
        <f t="shared" si="352"/>
        <v>030209</v>
      </c>
      <c r="D178" s="2">
        <v>3</v>
      </c>
      <c r="E178" s="2">
        <v>2</v>
      </c>
      <c r="F178" s="2">
        <v>9</v>
      </c>
      <c r="G178" s="11" t="s">
        <v>19</v>
      </c>
      <c r="H178" s="4"/>
      <c r="I178" s="42" t="s">
        <v>58</v>
      </c>
      <c r="J178" s="9">
        <v>80</v>
      </c>
      <c r="K178" s="9"/>
      <c r="L178" s="10" t="s">
        <v>8</v>
      </c>
      <c r="M178" s="22" t="s">
        <v>176</v>
      </c>
      <c r="N178" s="7">
        <f t="shared" si="397"/>
        <v>1135000</v>
      </c>
      <c r="O178" s="8">
        <v>216</v>
      </c>
      <c r="P178" s="25">
        <v>41136</v>
      </c>
      <c r="Q178" s="8" t="str">
        <f t="shared" si="353"/>
        <v>2DA-AGO</v>
      </c>
      <c r="R178" s="26">
        <v>0.6</v>
      </c>
      <c r="S178" s="41" t="s">
        <v>34</v>
      </c>
      <c r="T178" s="8" t="s">
        <v>352</v>
      </c>
      <c r="U178" s="8"/>
      <c r="V178" s="7">
        <v>567500</v>
      </c>
      <c r="W178" s="7">
        <f t="shared" si="477"/>
        <v>272400</v>
      </c>
      <c r="X178" s="7">
        <f t="shared" si="355"/>
        <v>295100</v>
      </c>
      <c r="Y178" s="7">
        <v>0</v>
      </c>
      <c r="Z178" s="7">
        <f t="shared" si="356"/>
        <v>272400</v>
      </c>
      <c r="AA178" s="148" t="str">
        <f t="shared" si="357"/>
        <v>50%</v>
      </c>
      <c r="AB178" s="148">
        <f t="shared" si="358"/>
        <v>0.5</v>
      </c>
      <c r="AC178" s="25">
        <f ca="1">TODAY()-14</f>
        <v>41108</v>
      </c>
      <c r="AD178" s="25">
        <f t="shared" ref="AD178:AE178" ca="1" si="500">TODAY()-14</f>
        <v>41108</v>
      </c>
      <c r="AE178" s="25">
        <f t="shared" ca="1" si="500"/>
        <v>41108</v>
      </c>
      <c r="AF178" s="8"/>
      <c r="AG178" s="59" t="str">
        <f t="shared" ca="1" si="360"/>
        <v>NA</v>
      </c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59" t="str">
        <f t="shared" si="409"/>
        <v>NA</v>
      </c>
      <c r="AS178" s="59" t="str">
        <f t="shared" si="410"/>
        <v/>
      </c>
      <c r="AT178" s="59"/>
      <c r="AU178" s="59" t="str">
        <f t="shared" si="337"/>
        <v>ND</v>
      </c>
      <c r="AV178" s="66"/>
      <c r="AW178" s="66"/>
      <c r="AX178" s="66"/>
      <c r="AY178" s="66"/>
      <c r="AZ178" s="8"/>
      <c r="BA178" s="8" t="s">
        <v>37</v>
      </c>
      <c r="BB178" s="8"/>
      <c r="BC178" s="8"/>
      <c r="BD178" s="8"/>
      <c r="BE178" s="8"/>
      <c r="BF178" s="8"/>
      <c r="BG178" s="8"/>
      <c r="BH178" s="8"/>
      <c r="BI178" s="8"/>
      <c r="BJ178" s="8"/>
      <c r="BK178" s="59"/>
      <c r="BL178" s="59"/>
      <c r="BM178" s="59"/>
      <c r="BN178" s="164">
        <v>0.01</v>
      </c>
      <c r="BO178" s="165">
        <f t="shared" si="361"/>
        <v>3783.3333333333335</v>
      </c>
      <c r="BP178" s="165">
        <f t="shared" ref="BP178:BQ178" si="501">BO178</f>
        <v>3783.3333333333335</v>
      </c>
      <c r="BQ178" s="165">
        <f t="shared" si="501"/>
        <v>3783.3333333333335</v>
      </c>
      <c r="BR178" s="59"/>
      <c r="BS178" s="59"/>
      <c r="BT178" s="59"/>
      <c r="BU178" s="59"/>
      <c r="BV178" s="59" t="str">
        <f t="shared" si="402"/>
        <v>ND</v>
      </c>
      <c r="BW178" s="59" t="str">
        <f t="shared" si="403"/>
        <v>ND</v>
      </c>
      <c r="BX178" s="59" t="str">
        <f t="shared" si="404"/>
        <v>ND</v>
      </c>
      <c r="BY178" s="59" t="str">
        <f t="shared" si="405"/>
        <v>ND</v>
      </c>
      <c r="BZ178" s="59" t="str">
        <f t="shared" si="339"/>
        <v>NA</v>
      </c>
      <c r="CA178" s="59" t="str">
        <f t="shared" si="340"/>
        <v/>
      </c>
      <c r="CB178" s="59" t="str">
        <f t="shared" si="341"/>
        <v>NA</v>
      </c>
      <c r="CC178" s="59" t="str">
        <f t="shared" si="342"/>
        <v/>
      </c>
      <c r="CD178" s="59" t="str">
        <f t="shared" si="343"/>
        <v>NA</v>
      </c>
      <c r="CE178" s="59" t="str">
        <f t="shared" si="344"/>
        <v/>
      </c>
      <c r="CF178" s="59" t="str">
        <f t="shared" si="345"/>
        <v>NA</v>
      </c>
      <c r="CG178" s="59" t="str">
        <f t="shared" ca="1" si="346"/>
        <v>NA</v>
      </c>
      <c r="CH178" s="59" t="str">
        <f t="shared" ca="1" si="347"/>
        <v>NA</v>
      </c>
      <c r="CI178" s="59" t="str">
        <f t="shared" ca="1" si="348"/>
        <v>DE 11 A 15 DIAS</v>
      </c>
      <c r="CJ178" s="59" t="str">
        <f t="shared" ca="1" si="349"/>
        <v>DE 11 A 15 DIAS</v>
      </c>
      <c r="CK178" s="59" t="str">
        <f t="shared" ca="1" si="350"/>
        <v>DE 11 A 15 DIAS</v>
      </c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>
        <f t="shared" si="363"/>
        <v>0</v>
      </c>
      <c r="DH178" s="8">
        <f t="shared" si="364"/>
        <v>0</v>
      </c>
      <c r="DI178" s="8">
        <f t="shared" si="365"/>
        <v>0</v>
      </c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59" t="str">
        <f t="shared" si="366"/>
        <v>NA</v>
      </c>
      <c r="DU178" s="59" t="str">
        <f t="shared" si="367"/>
        <v>NA</v>
      </c>
      <c r="DV178" s="59" t="str">
        <f t="shared" si="368"/>
        <v>NA</v>
      </c>
      <c r="DW178" s="59" t="str">
        <f t="shared" si="369"/>
        <v>NA</v>
      </c>
      <c r="DX178" s="59" t="str">
        <f t="shared" si="370"/>
        <v>NA</v>
      </c>
      <c r="DY178" s="59" t="str">
        <f t="shared" si="371"/>
        <v>NA</v>
      </c>
      <c r="DZ178" s="59" t="str">
        <f t="shared" si="372"/>
        <v>NA</v>
      </c>
      <c r="EA178" s="59" t="str">
        <f t="shared" si="373"/>
        <v>NA</v>
      </c>
      <c r="EB178" s="59" t="str">
        <f t="shared" si="374"/>
        <v>NA</v>
      </c>
      <c r="EC178" s="59" t="str">
        <f t="shared" si="375"/>
        <v>NA</v>
      </c>
      <c r="ED178" s="59" t="str">
        <f t="shared" si="376"/>
        <v/>
      </c>
      <c r="EE178" s="59" t="str">
        <f t="shared" si="377"/>
        <v/>
      </c>
      <c r="EF178" s="59" t="str">
        <f t="shared" si="378"/>
        <v/>
      </c>
      <c r="EG178" s="59" t="str">
        <f t="shared" si="379"/>
        <v/>
      </c>
      <c r="EH178" s="59" t="str">
        <f t="shared" si="380"/>
        <v/>
      </c>
      <c r="EI178" s="59" t="str">
        <f t="shared" si="381"/>
        <v/>
      </c>
      <c r="EJ178" s="59" t="str">
        <f t="shared" si="382"/>
        <v/>
      </c>
      <c r="EK178" s="59" t="str">
        <f t="shared" si="383"/>
        <v/>
      </c>
      <c r="EL178" s="59" t="str">
        <f t="shared" si="384"/>
        <v/>
      </c>
      <c r="EM178" s="59" t="str">
        <f t="shared" si="385"/>
        <v/>
      </c>
      <c r="EN178" s="59" t="str">
        <f t="shared" si="386"/>
        <v/>
      </c>
      <c r="EO178" s="59" t="str">
        <f t="shared" si="387"/>
        <v/>
      </c>
      <c r="EP178" s="59" t="str">
        <f t="shared" si="388"/>
        <v/>
      </c>
      <c r="EQ178" s="59" t="str">
        <f t="shared" si="389"/>
        <v/>
      </c>
      <c r="ER178" s="59" t="str">
        <f t="shared" si="390"/>
        <v/>
      </c>
      <c r="ES178" s="59" t="str">
        <f t="shared" si="391"/>
        <v/>
      </c>
      <c r="ET178" s="59" t="str">
        <f t="shared" si="392"/>
        <v/>
      </c>
      <c r="EU178" s="59" t="str">
        <f t="shared" si="393"/>
        <v/>
      </c>
      <c r="EV178" s="59" t="str">
        <f t="shared" si="394"/>
        <v/>
      </c>
      <c r="EW178" s="59" t="str">
        <f t="shared" si="395"/>
        <v/>
      </c>
      <c r="EX178" s="56">
        <f t="shared" si="351"/>
        <v>1135000</v>
      </c>
    </row>
    <row r="179" spans="1:154" x14ac:dyDescent="0.25">
      <c r="A179" s="2">
        <f t="shared" si="396"/>
        <v>178</v>
      </c>
      <c r="B179" s="2" t="s">
        <v>6</v>
      </c>
      <c r="C179" s="2" t="str">
        <f t="shared" si="352"/>
        <v>030210</v>
      </c>
      <c r="D179" s="2">
        <v>3</v>
      </c>
      <c r="E179" s="2">
        <v>2</v>
      </c>
      <c r="F179" s="2">
        <v>10</v>
      </c>
      <c r="G179" s="11" t="s">
        <v>19</v>
      </c>
      <c r="H179" s="4"/>
      <c r="I179" s="42" t="s">
        <v>58</v>
      </c>
      <c r="J179" s="9">
        <v>80</v>
      </c>
      <c r="K179" s="5"/>
      <c r="L179" s="6" t="s">
        <v>306</v>
      </c>
      <c r="M179" s="22" t="s">
        <v>176</v>
      </c>
      <c r="N179" s="7">
        <f t="shared" si="397"/>
        <v>1126000</v>
      </c>
      <c r="O179" s="8">
        <v>217</v>
      </c>
      <c r="P179" s="25">
        <v>41136</v>
      </c>
      <c r="Q179" s="8" t="str">
        <f t="shared" si="353"/>
        <v>2DA-AGO</v>
      </c>
      <c r="R179" s="26">
        <v>0.6</v>
      </c>
      <c r="S179" s="41" t="s">
        <v>34</v>
      </c>
      <c r="T179" s="8" t="s">
        <v>352</v>
      </c>
      <c r="U179" s="8"/>
      <c r="V179" s="7">
        <v>563000</v>
      </c>
      <c r="W179" s="7">
        <f t="shared" si="477"/>
        <v>270240</v>
      </c>
      <c r="X179" s="7">
        <f t="shared" si="355"/>
        <v>292760</v>
      </c>
      <c r="Y179" s="7">
        <v>0</v>
      </c>
      <c r="Z179" s="7">
        <f t="shared" si="356"/>
        <v>270240</v>
      </c>
      <c r="AA179" s="148" t="str">
        <f t="shared" si="357"/>
        <v>50%</v>
      </c>
      <c r="AB179" s="148">
        <f t="shared" si="358"/>
        <v>0.5</v>
      </c>
      <c r="AC179" s="25">
        <f ca="1">TODAY()-19</f>
        <v>41103</v>
      </c>
      <c r="AD179" s="25">
        <f t="shared" ref="AD179:AE179" ca="1" si="502">TODAY()-19</f>
        <v>41103</v>
      </c>
      <c r="AE179" s="25">
        <f t="shared" ca="1" si="502"/>
        <v>41103</v>
      </c>
      <c r="AF179" s="8"/>
      <c r="AG179" s="59" t="str">
        <f t="shared" ca="1" si="360"/>
        <v>NA</v>
      </c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59" t="str">
        <f t="shared" si="409"/>
        <v>NA</v>
      </c>
      <c r="AS179" s="59" t="str">
        <f t="shared" si="410"/>
        <v/>
      </c>
      <c r="AT179" s="59"/>
      <c r="AU179" s="59" t="str">
        <f t="shared" si="337"/>
        <v>ND</v>
      </c>
      <c r="AV179" s="66"/>
      <c r="AW179" s="66"/>
      <c r="AX179" s="66"/>
      <c r="AY179" s="66"/>
      <c r="AZ179" s="8"/>
      <c r="BA179" s="8" t="s">
        <v>37</v>
      </c>
      <c r="BB179" s="8"/>
      <c r="BC179" s="8"/>
      <c r="BD179" s="8"/>
      <c r="BE179" s="8"/>
      <c r="BF179" s="8"/>
      <c r="BG179" s="8"/>
      <c r="BH179" s="8"/>
      <c r="BI179" s="8"/>
      <c r="BJ179" s="8"/>
      <c r="BK179" s="59"/>
      <c r="BL179" s="59"/>
      <c r="BM179" s="59"/>
      <c r="BN179" s="164">
        <v>0.01</v>
      </c>
      <c r="BO179" s="165">
        <f t="shared" si="361"/>
        <v>3753.3333333333335</v>
      </c>
      <c r="BP179" s="165">
        <f t="shared" ref="BP179:BQ179" si="503">BO179</f>
        <v>3753.3333333333335</v>
      </c>
      <c r="BQ179" s="165">
        <f t="shared" si="503"/>
        <v>3753.3333333333335</v>
      </c>
      <c r="BR179" s="59"/>
      <c r="BS179" s="59"/>
      <c r="BT179" s="59"/>
      <c r="BU179" s="59"/>
      <c r="BV179" s="59" t="str">
        <f t="shared" si="402"/>
        <v>ND</v>
      </c>
      <c r="BW179" s="59" t="str">
        <f t="shared" si="403"/>
        <v>ND</v>
      </c>
      <c r="BX179" s="59" t="str">
        <f t="shared" si="404"/>
        <v>ND</v>
      </c>
      <c r="BY179" s="59" t="str">
        <f t="shared" si="405"/>
        <v>ND</v>
      </c>
      <c r="BZ179" s="59" t="str">
        <f t="shared" si="339"/>
        <v>NA</v>
      </c>
      <c r="CA179" s="59" t="str">
        <f t="shared" si="340"/>
        <v/>
      </c>
      <c r="CB179" s="59" t="str">
        <f t="shared" si="341"/>
        <v>NA</v>
      </c>
      <c r="CC179" s="59" t="str">
        <f t="shared" si="342"/>
        <v/>
      </c>
      <c r="CD179" s="59" t="str">
        <f t="shared" si="343"/>
        <v>NA</v>
      </c>
      <c r="CE179" s="59" t="str">
        <f t="shared" si="344"/>
        <v/>
      </c>
      <c r="CF179" s="59" t="str">
        <f t="shared" si="345"/>
        <v>NA</v>
      </c>
      <c r="CG179" s="59" t="str">
        <f t="shared" ca="1" si="346"/>
        <v>NA</v>
      </c>
      <c r="CH179" s="59" t="str">
        <f t="shared" ca="1" si="347"/>
        <v>NA</v>
      </c>
      <c r="CI179" s="59" t="str">
        <f t="shared" ca="1" si="348"/>
        <v>DE 16 A 20 DIAS</v>
      </c>
      <c r="CJ179" s="59" t="str">
        <f t="shared" ca="1" si="349"/>
        <v>DE 16 A 20 DIAS</v>
      </c>
      <c r="CK179" s="59" t="str">
        <f t="shared" ca="1" si="350"/>
        <v>DE 16 A 20 DIAS</v>
      </c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>
        <f t="shared" si="363"/>
        <v>0</v>
      </c>
      <c r="DH179" s="8">
        <f t="shared" si="364"/>
        <v>0</v>
      </c>
      <c r="DI179" s="8">
        <f t="shared" si="365"/>
        <v>0</v>
      </c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59" t="str">
        <f t="shared" si="366"/>
        <v>NA</v>
      </c>
      <c r="DU179" s="59" t="str">
        <f t="shared" si="367"/>
        <v>NA</v>
      </c>
      <c r="DV179" s="59" t="str">
        <f t="shared" si="368"/>
        <v>NA</v>
      </c>
      <c r="DW179" s="59" t="str">
        <f t="shared" si="369"/>
        <v>NA</v>
      </c>
      <c r="DX179" s="59" t="str">
        <f t="shared" si="370"/>
        <v>NA</v>
      </c>
      <c r="DY179" s="59" t="str">
        <f t="shared" si="371"/>
        <v>NA</v>
      </c>
      <c r="DZ179" s="59" t="str">
        <f t="shared" si="372"/>
        <v>NA</v>
      </c>
      <c r="EA179" s="59" t="str">
        <f t="shared" si="373"/>
        <v>NA</v>
      </c>
      <c r="EB179" s="59" t="str">
        <f t="shared" si="374"/>
        <v>NA</v>
      </c>
      <c r="EC179" s="59" t="str">
        <f t="shared" si="375"/>
        <v>NA</v>
      </c>
      <c r="ED179" s="59" t="str">
        <f t="shared" si="376"/>
        <v/>
      </c>
      <c r="EE179" s="59" t="str">
        <f t="shared" si="377"/>
        <v/>
      </c>
      <c r="EF179" s="59" t="str">
        <f t="shared" si="378"/>
        <v/>
      </c>
      <c r="EG179" s="59" t="str">
        <f t="shared" si="379"/>
        <v/>
      </c>
      <c r="EH179" s="59" t="str">
        <f t="shared" si="380"/>
        <v/>
      </c>
      <c r="EI179" s="59" t="str">
        <f t="shared" si="381"/>
        <v/>
      </c>
      <c r="EJ179" s="59" t="str">
        <f t="shared" si="382"/>
        <v/>
      </c>
      <c r="EK179" s="59" t="str">
        <f t="shared" si="383"/>
        <v/>
      </c>
      <c r="EL179" s="59" t="str">
        <f t="shared" si="384"/>
        <v/>
      </c>
      <c r="EM179" s="59" t="str">
        <f t="shared" si="385"/>
        <v/>
      </c>
      <c r="EN179" s="59" t="str">
        <f t="shared" si="386"/>
        <v/>
      </c>
      <c r="EO179" s="59" t="str">
        <f t="shared" si="387"/>
        <v/>
      </c>
      <c r="EP179" s="59" t="str">
        <f t="shared" si="388"/>
        <v/>
      </c>
      <c r="EQ179" s="59" t="str">
        <f t="shared" si="389"/>
        <v/>
      </c>
      <c r="ER179" s="59" t="str">
        <f t="shared" si="390"/>
        <v/>
      </c>
      <c r="ES179" s="59" t="str">
        <f t="shared" si="391"/>
        <v/>
      </c>
      <c r="ET179" s="59" t="str">
        <f t="shared" si="392"/>
        <v/>
      </c>
      <c r="EU179" s="59" t="str">
        <f t="shared" si="393"/>
        <v/>
      </c>
      <c r="EV179" s="59" t="str">
        <f t="shared" si="394"/>
        <v/>
      </c>
      <c r="EW179" s="59" t="str">
        <f t="shared" si="395"/>
        <v/>
      </c>
      <c r="EX179" s="56">
        <f t="shared" si="351"/>
        <v>1126000</v>
      </c>
    </row>
    <row r="180" spans="1:154" x14ac:dyDescent="0.25">
      <c r="A180" s="2">
        <f t="shared" si="396"/>
        <v>179</v>
      </c>
      <c r="B180" s="2" t="s">
        <v>6</v>
      </c>
      <c r="C180" s="2" t="str">
        <f t="shared" si="352"/>
        <v>030301</v>
      </c>
      <c r="D180" s="2">
        <v>3</v>
      </c>
      <c r="E180" s="2">
        <v>3</v>
      </c>
      <c r="F180" s="2">
        <v>1</v>
      </c>
      <c r="G180" s="11" t="s">
        <v>20</v>
      </c>
      <c r="H180" s="4"/>
      <c r="I180" s="42" t="s">
        <v>58</v>
      </c>
      <c r="J180" s="9">
        <v>80</v>
      </c>
      <c r="K180" s="9"/>
      <c r="L180" s="10" t="s">
        <v>8</v>
      </c>
      <c r="M180" s="22" t="s">
        <v>176</v>
      </c>
      <c r="N180" s="7">
        <f t="shared" si="397"/>
        <v>1135000</v>
      </c>
      <c r="O180" s="8">
        <v>218</v>
      </c>
      <c r="P180" s="25">
        <v>41167</v>
      </c>
      <c r="Q180" s="8" t="str">
        <f t="shared" si="353"/>
        <v>2DA-SEP</v>
      </c>
      <c r="R180" s="26">
        <v>0.5</v>
      </c>
      <c r="S180" s="41" t="s">
        <v>34</v>
      </c>
      <c r="T180" s="8" t="s">
        <v>352</v>
      </c>
      <c r="U180" s="8"/>
      <c r="V180" s="7">
        <v>567500</v>
      </c>
      <c r="W180" s="7">
        <f t="shared" si="477"/>
        <v>272400</v>
      </c>
      <c r="X180" s="7">
        <f t="shared" si="355"/>
        <v>295100</v>
      </c>
      <c r="Y180" s="7">
        <v>0</v>
      </c>
      <c r="Z180" s="7">
        <f t="shared" si="356"/>
        <v>272400</v>
      </c>
      <c r="AA180" s="148" t="str">
        <f t="shared" si="357"/>
        <v>50%</v>
      </c>
      <c r="AB180" s="148">
        <f t="shared" si="358"/>
        <v>0.5</v>
      </c>
      <c r="AC180" s="25">
        <f ca="1">TODAY()-25</f>
        <v>41097</v>
      </c>
      <c r="AD180" s="25">
        <f t="shared" ref="AD180:AE180" ca="1" si="504">TODAY()-25</f>
        <v>41097</v>
      </c>
      <c r="AE180" s="25">
        <f t="shared" ca="1" si="504"/>
        <v>41097</v>
      </c>
      <c r="AF180" s="8"/>
      <c r="AG180" s="59" t="str">
        <f t="shared" ca="1" si="360"/>
        <v>NA</v>
      </c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59" t="str">
        <f t="shared" si="409"/>
        <v>NA</v>
      </c>
      <c r="AS180" s="59" t="str">
        <f t="shared" si="410"/>
        <v/>
      </c>
      <c r="AT180" s="59"/>
      <c r="AU180" s="59" t="str">
        <f t="shared" si="337"/>
        <v>ND</v>
      </c>
      <c r="AV180" s="66"/>
      <c r="AW180" s="66"/>
      <c r="AX180" s="66"/>
      <c r="AY180" s="66"/>
      <c r="AZ180" s="8"/>
      <c r="BA180" s="8" t="s">
        <v>37</v>
      </c>
      <c r="BB180" s="8"/>
      <c r="BC180" s="8"/>
      <c r="BD180" s="8"/>
      <c r="BE180" s="8"/>
      <c r="BF180" s="8"/>
      <c r="BG180" s="8"/>
      <c r="BH180" s="8"/>
      <c r="BI180" s="8"/>
      <c r="BJ180" s="8"/>
      <c r="BK180" s="59"/>
      <c r="BL180" s="59"/>
      <c r="BM180" s="59"/>
      <c r="BN180" s="164">
        <v>0.01</v>
      </c>
      <c r="BO180" s="165">
        <f t="shared" si="361"/>
        <v>3783.3333333333335</v>
      </c>
      <c r="BP180" s="165">
        <f t="shared" ref="BP180:BQ180" si="505">BO180</f>
        <v>3783.3333333333335</v>
      </c>
      <c r="BQ180" s="165">
        <f t="shared" si="505"/>
        <v>3783.3333333333335</v>
      </c>
      <c r="BR180" s="59"/>
      <c r="BS180" s="59"/>
      <c r="BT180" s="59"/>
      <c r="BU180" s="59"/>
      <c r="BV180" s="59" t="str">
        <f t="shared" si="402"/>
        <v>ND</v>
      </c>
      <c r="BW180" s="59" t="str">
        <f t="shared" si="403"/>
        <v>ND</v>
      </c>
      <c r="BX180" s="59" t="str">
        <f t="shared" si="404"/>
        <v>ND</v>
      </c>
      <c r="BY180" s="59" t="str">
        <f t="shared" si="405"/>
        <v>ND</v>
      </c>
      <c r="BZ180" s="59" t="str">
        <f t="shared" si="339"/>
        <v>NA</v>
      </c>
      <c r="CA180" s="59" t="str">
        <f t="shared" si="340"/>
        <v/>
      </c>
      <c r="CB180" s="59" t="str">
        <f t="shared" si="341"/>
        <v>NA</v>
      </c>
      <c r="CC180" s="59" t="str">
        <f t="shared" si="342"/>
        <v/>
      </c>
      <c r="CD180" s="59" t="str">
        <f t="shared" si="343"/>
        <v>NA</v>
      </c>
      <c r="CE180" s="59" t="str">
        <f t="shared" si="344"/>
        <v/>
      </c>
      <c r="CF180" s="59" t="str">
        <f t="shared" si="345"/>
        <v>NA</v>
      </c>
      <c r="CG180" s="59" t="str">
        <f t="shared" ca="1" si="346"/>
        <v>NA</v>
      </c>
      <c r="CH180" s="59" t="str">
        <f t="shared" ca="1" si="347"/>
        <v>NA</v>
      </c>
      <c r="CI180" s="59" t="str">
        <f t="shared" ca="1" si="348"/>
        <v>DE 21 A 25 DIAS</v>
      </c>
      <c r="CJ180" s="59" t="str">
        <f t="shared" ca="1" si="349"/>
        <v>DE 21 A 25 DIAS</v>
      </c>
      <c r="CK180" s="59" t="str">
        <f t="shared" ca="1" si="350"/>
        <v>DE 21 A 25 DIAS</v>
      </c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>
        <f t="shared" si="363"/>
        <v>0</v>
      </c>
      <c r="DH180" s="8">
        <f t="shared" si="364"/>
        <v>0</v>
      </c>
      <c r="DI180" s="8">
        <f t="shared" si="365"/>
        <v>0</v>
      </c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59" t="str">
        <f t="shared" si="366"/>
        <v>NA</v>
      </c>
      <c r="DU180" s="59" t="str">
        <f t="shared" si="367"/>
        <v>NA</v>
      </c>
      <c r="DV180" s="59" t="str">
        <f t="shared" si="368"/>
        <v>NA</v>
      </c>
      <c r="DW180" s="59" t="str">
        <f t="shared" si="369"/>
        <v>NA</v>
      </c>
      <c r="DX180" s="59" t="str">
        <f t="shared" si="370"/>
        <v>NA</v>
      </c>
      <c r="DY180" s="59" t="str">
        <f t="shared" si="371"/>
        <v>NA</v>
      </c>
      <c r="DZ180" s="59" t="str">
        <f t="shared" si="372"/>
        <v>NA</v>
      </c>
      <c r="EA180" s="59" t="str">
        <f t="shared" si="373"/>
        <v>NA</v>
      </c>
      <c r="EB180" s="59" t="str">
        <f t="shared" si="374"/>
        <v>NA</v>
      </c>
      <c r="EC180" s="59" t="str">
        <f t="shared" si="375"/>
        <v>NA</v>
      </c>
      <c r="ED180" s="59" t="str">
        <f t="shared" si="376"/>
        <v/>
      </c>
      <c r="EE180" s="59" t="str">
        <f t="shared" si="377"/>
        <v/>
      </c>
      <c r="EF180" s="59" t="str">
        <f t="shared" si="378"/>
        <v/>
      </c>
      <c r="EG180" s="59" t="str">
        <f t="shared" si="379"/>
        <v/>
      </c>
      <c r="EH180" s="59" t="str">
        <f t="shared" si="380"/>
        <v/>
      </c>
      <c r="EI180" s="59" t="str">
        <f t="shared" si="381"/>
        <v/>
      </c>
      <c r="EJ180" s="59" t="str">
        <f t="shared" si="382"/>
        <v/>
      </c>
      <c r="EK180" s="59" t="str">
        <f t="shared" si="383"/>
        <v/>
      </c>
      <c r="EL180" s="59" t="str">
        <f t="shared" si="384"/>
        <v/>
      </c>
      <c r="EM180" s="59" t="str">
        <f t="shared" si="385"/>
        <v/>
      </c>
      <c r="EN180" s="59" t="str">
        <f t="shared" si="386"/>
        <v/>
      </c>
      <c r="EO180" s="59" t="str">
        <f t="shared" si="387"/>
        <v/>
      </c>
      <c r="EP180" s="59" t="str">
        <f t="shared" si="388"/>
        <v/>
      </c>
      <c r="EQ180" s="59" t="str">
        <f t="shared" si="389"/>
        <v/>
      </c>
      <c r="ER180" s="59" t="str">
        <f t="shared" si="390"/>
        <v/>
      </c>
      <c r="ES180" s="59" t="str">
        <f t="shared" si="391"/>
        <v/>
      </c>
      <c r="ET180" s="59" t="str">
        <f t="shared" si="392"/>
        <v/>
      </c>
      <c r="EU180" s="59" t="str">
        <f t="shared" si="393"/>
        <v/>
      </c>
      <c r="EV180" s="59" t="str">
        <f t="shared" si="394"/>
        <v/>
      </c>
      <c r="EW180" s="59" t="str">
        <f t="shared" si="395"/>
        <v/>
      </c>
      <c r="EX180" s="56">
        <f t="shared" si="351"/>
        <v>1135000</v>
      </c>
    </row>
    <row r="181" spans="1:154" x14ac:dyDescent="0.25">
      <c r="A181" s="2">
        <f t="shared" si="396"/>
        <v>180</v>
      </c>
      <c r="B181" s="2" t="s">
        <v>6</v>
      </c>
      <c r="C181" s="2" t="str">
        <f t="shared" si="352"/>
        <v>030302</v>
      </c>
      <c r="D181" s="2">
        <v>3</v>
      </c>
      <c r="E181" s="2">
        <v>3</v>
      </c>
      <c r="F181" s="2">
        <v>2</v>
      </c>
      <c r="G181" s="11" t="s">
        <v>20</v>
      </c>
      <c r="H181" s="4"/>
      <c r="I181" s="42" t="s">
        <v>58</v>
      </c>
      <c r="J181" s="9">
        <v>80</v>
      </c>
      <c r="K181" s="5"/>
      <c r="L181" s="6" t="s">
        <v>306</v>
      </c>
      <c r="M181" s="22" t="s">
        <v>176</v>
      </c>
      <c r="N181" s="7">
        <f t="shared" si="397"/>
        <v>1126000</v>
      </c>
      <c r="O181" s="8">
        <v>219</v>
      </c>
      <c r="P181" s="25">
        <v>41167</v>
      </c>
      <c r="Q181" s="8" t="str">
        <f t="shared" si="353"/>
        <v>2DA-SEP</v>
      </c>
      <c r="R181" s="26">
        <v>0.5</v>
      </c>
      <c r="S181" s="41" t="s">
        <v>34</v>
      </c>
      <c r="T181" s="8" t="s">
        <v>352</v>
      </c>
      <c r="U181" s="8"/>
      <c r="V181" s="7">
        <v>563000</v>
      </c>
      <c r="W181" s="7">
        <f t="shared" si="477"/>
        <v>270240</v>
      </c>
      <c r="X181" s="7">
        <f t="shared" si="355"/>
        <v>292760</v>
      </c>
      <c r="Y181" s="7">
        <v>0</v>
      </c>
      <c r="Z181" s="7">
        <f t="shared" si="356"/>
        <v>270240</v>
      </c>
      <c r="AA181" s="148" t="str">
        <f t="shared" si="357"/>
        <v>50%</v>
      </c>
      <c r="AB181" s="148">
        <f t="shared" si="358"/>
        <v>0.5</v>
      </c>
      <c r="AC181" s="25">
        <f ca="1">TODAY()-29</f>
        <v>41093</v>
      </c>
      <c r="AD181" s="25">
        <f t="shared" ref="AD181:AE181" ca="1" si="506">TODAY()-29</f>
        <v>41093</v>
      </c>
      <c r="AE181" s="25">
        <f t="shared" ca="1" si="506"/>
        <v>41093</v>
      </c>
      <c r="AF181" s="8"/>
      <c r="AG181" s="59" t="str">
        <f t="shared" ca="1" si="360"/>
        <v>NA</v>
      </c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59" t="str">
        <f t="shared" si="409"/>
        <v>NA</v>
      </c>
      <c r="AS181" s="59" t="str">
        <f t="shared" si="410"/>
        <v/>
      </c>
      <c r="AT181" s="59"/>
      <c r="AU181" s="59" t="str">
        <f t="shared" si="337"/>
        <v>ND</v>
      </c>
      <c r="AV181" s="66"/>
      <c r="AW181" s="66"/>
      <c r="AX181" s="66"/>
      <c r="AY181" s="66"/>
      <c r="AZ181" s="8"/>
      <c r="BA181" s="8" t="s">
        <v>37</v>
      </c>
      <c r="BB181" s="8"/>
      <c r="BC181" s="8"/>
      <c r="BD181" s="8"/>
      <c r="BE181" s="8"/>
      <c r="BF181" s="8"/>
      <c r="BG181" s="8"/>
      <c r="BH181" s="8"/>
      <c r="BI181" s="8"/>
      <c r="BJ181" s="8"/>
      <c r="BK181" s="59"/>
      <c r="BL181" s="59"/>
      <c r="BM181" s="59"/>
      <c r="BN181" s="164">
        <v>0.01</v>
      </c>
      <c r="BO181" s="165">
        <f t="shared" si="361"/>
        <v>3753.3333333333335</v>
      </c>
      <c r="BP181" s="165">
        <f t="shared" ref="BP181:BQ181" si="507">BO181</f>
        <v>3753.3333333333335</v>
      </c>
      <c r="BQ181" s="165">
        <f t="shared" si="507"/>
        <v>3753.3333333333335</v>
      </c>
      <c r="BR181" s="59"/>
      <c r="BS181" s="59"/>
      <c r="BT181" s="59"/>
      <c r="BU181" s="59"/>
      <c r="BV181" s="59" t="str">
        <f t="shared" si="402"/>
        <v>ND</v>
      </c>
      <c r="BW181" s="59" t="str">
        <f t="shared" si="403"/>
        <v>ND</v>
      </c>
      <c r="BX181" s="59" t="str">
        <f t="shared" si="404"/>
        <v>ND</v>
      </c>
      <c r="BY181" s="59" t="str">
        <f t="shared" si="405"/>
        <v>ND</v>
      </c>
      <c r="BZ181" s="59" t="str">
        <f t="shared" si="339"/>
        <v>NA</v>
      </c>
      <c r="CA181" s="59" t="str">
        <f t="shared" si="340"/>
        <v/>
      </c>
      <c r="CB181" s="59" t="str">
        <f t="shared" si="341"/>
        <v>NA</v>
      </c>
      <c r="CC181" s="59" t="str">
        <f t="shared" si="342"/>
        <v/>
      </c>
      <c r="CD181" s="59" t="str">
        <f t="shared" si="343"/>
        <v>NA</v>
      </c>
      <c r="CE181" s="59" t="str">
        <f t="shared" si="344"/>
        <v/>
      </c>
      <c r="CF181" s="59" t="str">
        <f t="shared" si="345"/>
        <v>NA</v>
      </c>
      <c r="CG181" s="59" t="str">
        <f t="shared" ca="1" si="346"/>
        <v>NA</v>
      </c>
      <c r="CH181" s="59" t="str">
        <f t="shared" ca="1" si="347"/>
        <v>NA</v>
      </c>
      <c r="CI181" s="59" t="str">
        <f t="shared" ca="1" si="348"/>
        <v>DE 26 A 29 DIAS</v>
      </c>
      <c r="CJ181" s="59" t="str">
        <f t="shared" ca="1" si="349"/>
        <v>DE 26 A 29 DIAS</v>
      </c>
      <c r="CK181" s="59" t="str">
        <f t="shared" ca="1" si="350"/>
        <v>DE 26 A 29 DIAS</v>
      </c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>
        <f t="shared" si="363"/>
        <v>0</v>
      </c>
      <c r="DH181" s="8">
        <f t="shared" si="364"/>
        <v>0</v>
      </c>
      <c r="DI181" s="8">
        <f t="shared" si="365"/>
        <v>0</v>
      </c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59" t="str">
        <f t="shared" si="366"/>
        <v>NA</v>
      </c>
      <c r="DU181" s="59" t="str">
        <f t="shared" si="367"/>
        <v>NA</v>
      </c>
      <c r="DV181" s="59" t="str">
        <f t="shared" si="368"/>
        <v>NA</v>
      </c>
      <c r="DW181" s="59" t="str">
        <f t="shared" si="369"/>
        <v>NA</v>
      </c>
      <c r="DX181" s="59" t="str">
        <f t="shared" si="370"/>
        <v>NA</v>
      </c>
      <c r="DY181" s="59" t="str">
        <f t="shared" si="371"/>
        <v>NA</v>
      </c>
      <c r="DZ181" s="59" t="str">
        <f t="shared" si="372"/>
        <v>NA</v>
      </c>
      <c r="EA181" s="59" t="str">
        <f t="shared" si="373"/>
        <v>NA</v>
      </c>
      <c r="EB181" s="59" t="str">
        <f t="shared" si="374"/>
        <v>NA</v>
      </c>
      <c r="EC181" s="59" t="str">
        <f t="shared" si="375"/>
        <v>NA</v>
      </c>
      <c r="ED181" s="59" t="str">
        <f t="shared" si="376"/>
        <v/>
      </c>
      <c r="EE181" s="59" t="str">
        <f t="shared" si="377"/>
        <v/>
      </c>
      <c r="EF181" s="59" t="str">
        <f t="shared" si="378"/>
        <v/>
      </c>
      <c r="EG181" s="59" t="str">
        <f t="shared" si="379"/>
        <v/>
      </c>
      <c r="EH181" s="59" t="str">
        <f t="shared" si="380"/>
        <v/>
      </c>
      <c r="EI181" s="59" t="str">
        <f t="shared" si="381"/>
        <v/>
      </c>
      <c r="EJ181" s="59" t="str">
        <f t="shared" si="382"/>
        <v/>
      </c>
      <c r="EK181" s="59" t="str">
        <f t="shared" si="383"/>
        <v/>
      </c>
      <c r="EL181" s="59" t="str">
        <f t="shared" si="384"/>
        <v/>
      </c>
      <c r="EM181" s="59" t="str">
        <f t="shared" si="385"/>
        <v/>
      </c>
      <c r="EN181" s="59" t="str">
        <f t="shared" si="386"/>
        <v/>
      </c>
      <c r="EO181" s="59" t="str">
        <f t="shared" si="387"/>
        <v/>
      </c>
      <c r="EP181" s="59" t="str">
        <f t="shared" si="388"/>
        <v/>
      </c>
      <c r="EQ181" s="59" t="str">
        <f t="shared" si="389"/>
        <v/>
      </c>
      <c r="ER181" s="59" t="str">
        <f t="shared" si="390"/>
        <v/>
      </c>
      <c r="ES181" s="59" t="str">
        <f t="shared" si="391"/>
        <v/>
      </c>
      <c r="ET181" s="59" t="str">
        <f t="shared" si="392"/>
        <v/>
      </c>
      <c r="EU181" s="59" t="str">
        <f t="shared" si="393"/>
        <v/>
      </c>
      <c r="EV181" s="59" t="str">
        <f t="shared" si="394"/>
        <v/>
      </c>
      <c r="EW181" s="59" t="str">
        <f t="shared" si="395"/>
        <v/>
      </c>
      <c r="EX181" s="56">
        <f t="shared" si="351"/>
        <v>1126000</v>
      </c>
    </row>
    <row r="182" spans="1:154" x14ac:dyDescent="0.25">
      <c r="A182" s="2">
        <f t="shared" si="396"/>
        <v>181</v>
      </c>
      <c r="B182" s="2" t="s">
        <v>6</v>
      </c>
      <c r="C182" s="2" t="str">
        <f t="shared" si="352"/>
        <v>030303</v>
      </c>
      <c r="D182" s="2">
        <v>3</v>
      </c>
      <c r="E182" s="2">
        <v>3</v>
      </c>
      <c r="F182" s="2">
        <v>3</v>
      </c>
      <c r="G182" s="11" t="s">
        <v>20</v>
      </c>
      <c r="H182" s="4"/>
      <c r="I182" s="42" t="s">
        <v>58</v>
      </c>
      <c r="J182" s="9">
        <v>80</v>
      </c>
      <c r="K182" s="5"/>
      <c r="L182" s="6" t="s">
        <v>306</v>
      </c>
      <c r="M182" s="22" t="s">
        <v>176</v>
      </c>
      <c r="N182" s="7">
        <f t="shared" si="397"/>
        <v>1126000</v>
      </c>
      <c r="O182" s="8">
        <v>220</v>
      </c>
      <c r="P182" s="25">
        <v>41167</v>
      </c>
      <c r="Q182" s="8" t="str">
        <f t="shared" si="353"/>
        <v>2DA-SEP</v>
      </c>
      <c r="R182" s="26">
        <v>0.5</v>
      </c>
      <c r="S182" s="41" t="s">
        <v>34</v>
      </c>
      <c r="T182" s="8" t="s">
        <v>352</v>
      </c>
      <c r="U182" s="8"/>
      <c r="V182" s="7">
        <v>563000</v>
      </c>
      <c r="W182" s="7">
        <f t="shared" si="477"/>
        <v>270240</v>
      </c>
      <c r="X182" s="7">
        <f t="shared" si="355"/>
        <v>292760</v>
      </c>
      <c r="Y182" s="7">
        <v>0</v>
      </c>
      <c r="Z182" s="7">
        <f t="shared" si="356"/>
        <v>270240</v>
      </c>
      <c r="AA182" s="148" t="str">
        <f t="shared" si="357"/>
        <v>50%</v>
      </c>
      <c r="AB182" s="148">
        <f t="shared" si="358"/>
        <v>0.5</v>
      </c>
      <c r="AC182" s="25">
        <f ca="1">TODAY()-30</f>
        <v>41092</v>
      </c>
      <c r="AD182" s="25">
        <f t="shared" ref="AD182:AE182" ca="1" si="508">TODAY()-30</f>
        <v>41092</v>
      </c>
      <c r="AE182" s="25">
        <f t="shared" ca="1" si="508"/>
        <v>41092</v>
      </c>
      <c r="AF182" s="8"/>
      <c r="AG182" s="59" t="str">
        <f t="shared" ca="1" si="360"/>
        <v>NA</v>
      </c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59" t="str">
        <f t="shared" si="409"/>
        <v>NA</v>
      </c>
      <c r="AS182" s="59" t="str">
        <f t="shared" si="410"/>
        <v/>
      </c>
      <c r="AT182" s="59"/>
      <c r="AU182" s="59" t="str">
        <f t="shared" si="337"/>
        <v>ND</v>
      </c>
      <c r="AV182" s="66"/>
      <c r="AW182" s="66"/>
      <c r="AX182" s="66"/>
      <c r="AY182" s="66"/>
      <c r="AZ182" s="8"/>
      <c r="BA182" s="8" t="s">
        <v>37</v>
      </c>
      <c r="BB182" s="8"/>
      <c r="BC182" s="8"/>
      <c r="BD182" s="8"/>
      <c r="BE182" s="8"/>
      <c r="BF182" s="8"/>
      <c r="BG182" s="8"/>
      <c r="BH182" s="8"/>
      <c r="BI182" s="8"/>
      <c r="BJ182" s="8"/>
      <c r="BK182" s="59"/>
      <c r="BL182" s="59"/>
      <c r="BM182" s="59"/>
      <c r="BN182" s="164">
        <v>0.01</v>
      </c>
      <c r="BO182" s="165">
        <f t="shared" si="361"/>
        <v>3753.3333333333335</v>
      </c>
      <c r="BP182" s="165">
        <f t="shared" ref="BP182:BQ182" si="509">BO182</f>
        <v>3753.3333333333335</v>
      </c>
      <c r="BQ182" s="165">
        <f t="shared" si="509"/>
        <v>3753.3333333333335</v>
      </c>
      <c r="BR182" s="59"/>
      <c r="BS182" s="59"/>
      <c r="BT182" s="59"/>
      <c r="BU182" s="59"/>
      <c r="BV182" s="59" t="str">
        <f t="shared" si="402"/>
        <v>ND</v>
      </c>
      <c r="BW182" s="59" t="str">
        <f t="shared" si="403"/>
        <v>ND</v>
      </c>
      <c r="BX182" s="59" t="str">
        <f t="shared" si="404"/>
        <v>ND</v>
      </c>
      <c r="BY182" s="59" t="str">
        <f t="shared" si="405"/>
        <v>ND</v>
      </c>
      <c r="BZ182" s="59" t="str">
        <f t="shared" si="339"/>
        <v>NA</v>
      </c>
      <c r="CA182" s="59" t="str">
        <f t="shared" si="340"/>
        <v/>
      </c>
      <c r="CB182" s="59" t="str">
        <f t="shared" si="341"/>
        <v>NA</v>
      </c>
      <c r="CC182" s="59" t="str">
        <f t="shared" si="342"/>
        <v/>
      </c>
      <c r="CD182" s="59" t="str">
        <f t="shared" si="343"/>
        <v>NA</v>
      </c>
      <c r="CE182" s="59" t="str">
        <f t="shared" si="344"/>
        <v/>
      </c>
      <c r="CF182" s="59" t="str">
        <f t="shared" si="345"/>
        <v>NA</v>
      </c>
      <c r="CG182" s="59" t="str">
        <f t="shared" ca="1" si="346"/>
        <v>NA</v>
      </c>
      <c r="CH182" s="59" t="str">
        <f t="shared" ca="1" si="347"/>
        <v>NA</v>
      </c>
      <c r="CI182" s="59" t="str">
        <f t="shared" ca="1" si="348"/>
        <v>30 DIAS</v>
      </c>
      <c r="CJ182" s="59" t="str">
        <f t="shared" ca="1" si="349"/>
        <v>30 DIAS</v>
      </c>
      <c r="CK182" s="59" t="str">
        <f t="shared" ca="1" si="350"/>
        <v>30 DIAS</v>
      </c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>
        <f t="shared" si="363"/>
        <v>0</v>
      </c>
      <c r="DH182" s="8">
        <f t="shared" si="364"/>
        <v>0</v>
      </c>
      <c r="DI182" s="8">
        <f t="shared" si="365"/>
        <v>0</v>
      </c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59" t="str">
        <f t="shared" si="366"/>
        <v>NA</v>
      </c>
      <c r="DU182" s="59" t="str">
        <f t="shared" si="367"/>
        <v>NA</v>
      </c>
      <c r="DV182" s="59" t="str">
        <f t="shared" si="368"/>
        <v>NA</v>
      </c>
      <c r="DW182" s="59" t="str">
        <f t="shared" si="369"/>
        <v>NA</v>
      </c>
      <c r="DX182" s="59" t="str">
        <f t="shared" si="370"/>
        <v>NA</v>
      </c>
      <c r="DY182" s="59" t="str">
        <f t="shared" si="371"/>
        <v>NA</v>
      </c>
      <c r="DZ182" s="59" t="str">
        <f t="shared" si="372"/>
        <v>NA</v>
      </c>
      <c r="EA182" s="59" t="str">
        <f t="shared" si="373"/>
        <v>NA</v>
      </c>
      <c r="EB182" s="59" t="str">
        <f t="shared" si="374"/>
        <v>NA</v>
      </c>
      <c r="EC182" s="59" t="str">
        <f t="shared" si="375"/>
        <v>NA</v>
      </c>
      <c r="ED182" s="59" t="str">
        <f t="shared" si="376"/>
        <v/>
      </c>
      <c r="EE182" s="59" t="str">
        <f t="shared" si="377"/>
        <v/>
      </c>
      <c r="EF182" s="59" t="str">
        <f t="shared" si="378"/>
        <v/>
      </c>
      <c r="EG182" s="59" t="str">
        <f t="shared" si="379"/>
        <v/>
      </c>
      <c r="EH182" s="59" t="str">
        <f t="shared" si="380"/>
        <v/>
      </c>
      <c r="EI182" s="59" t="str">
        <f t="shared" si="381"/>
        <v/>
      </c>
      <c r="EJ182" s="59" t="str">
        <f t="shared" si="382"/>
        <v/>
      </c>
      <c r="EK182" s="59" t="str">
        <f t="shared" si="383"/>
        <v/>
      </c>
      <c r="EL182" s="59" t="str">
        <f t="shared" si="384"/>
        <v/>
      </c>
      <c r="EM182" s="59" t="str">
        <f t="shared" si="385"/>
        <v/>
      </c>
      <c r="EN182" s="59" t="str">
        <f t="shared" si="386"/>
        <v/>
      </c>
      <c r="EO182" s="59" t="str">
        <f t="shared" si="387"/>
        <v/>
      </c>
      <c r="EP182" s="59" t="str">
        <f t="shared" si="388"/>
        <v/>
      </c>
      <c r="EQ182" s="59" t="str">
        <f t="shared" si="389"/>
        <v/>
      </c>
      <c r="ER182" s="59" t="str">
        <f t="shared" si="390"/>
        <v/>
      </c>
      <c r="ES182" s="59" t="str">
        <f t="shared" si="391"/>
        <v/>
      </c>
      <c r="ET182" s="59" t="str">
        <f t="shared" si="392"/>
        <v/>
      </c>
      <c r="EU182" s="59" t="str">
        <f t="shared" si="393"/>
        <v/>
      </c>
      <c r="EV182" s="59" t="str">
        <f t="shared" si="394"/>
        <v/>
      </c>
      <c r="EW182" s="59" t="str">
        <f t="shared" si="395"/>
        <v/>
      </c>
      <c r="EX182" s="56">
        <f t="shared" si="351"/>
        <v>1126000</v>
      </c>
    </row>
    <row r="183" spans="1:154" x14ac:dyDescent="0.25">
      <c r="A183" s="2">
        <f t="shared" si="396"/>
        <v>182</v>
      </c>
      <c r="B183" s="2" t="s">
        <v>6</v>
      </c>
      <c r="C183" s="2" t="str">
        <f t="shared" si="352"/>
        <v>030304</v>
      </c>
      <c r="D183" s="2">
        <v>3</v>
      </c>
      <c r="E183" s="2">
        <v>3</v>
      </c>
      <c r="F183" s="2">
        <v>4</v>
      </c>
      <c r="G183" s="11" t="s">
        <v>20</v>
      </c>
      <c r="H183" s="4"/>
      <c r="I183" s="42" t="s">
        <v>58</v>
      </c>
      <c r="J183" s="9">
        <v>80</v>
      </c>
      <c r="K183" s="9"/>
      <c r="L183" s="10" t="s">
        <v>8</v>
      </c>
      <c r="M183" s="22" t="s">
        <v>176</v>
      </c>
      <c r="N183" s="7">
        <f t="shared" si="397"/>
        <v>1135000</v>
      </c>
      <c r="O183" s="8">
        <v>221</v>
      </c>
      <c r="P183" s="25">
        <v>41167</v>
      </c>
      <c r="Q183" s="8" t="str">
        <f t="shared" si="353"/>
        <v>2DA-SEP</v>
      </c>
      <c r="R183" s="26">
        <v>0.3</v>
      </c>
      <c r="S183" s="41" t="s">
        <v>34</v>
      </c>
      <c r="T183" s="8" t="s">
        <v>352</v>
      </c>
      <c r="U183" s="8"/>
      <c r="V183" s="7">
        <v>567500</v>
      </c>
      <c r="W183" s="7">
        <f>+V183*0</f>
        <v>0</v>
      </c>
      <c r="X183" s="7">
        <f t="shared" si="355"/>
        <v>567500</v>
      </c>
      <c r="Y183" s="7">
        <v>0</v>
      </c>
      <c r="Z183" s="7">
        <f t="shared" si="356"/>
        <v>0</v>
      </c>
      <c r="AA183" s="148" t="str">
        <f t="shared" si="357"/>
        <v>5%</v>
      </c>
      <c r="AB183" s="148">
        <f t="shared" si="358"/>
        <v>0.95</v>
      </c>
      <c r="AC183" s="25">
        <f ca="1">TODAY()-34</f>
        <v>41088</v>
      </c>
      <c r="AD183" s="25">
        <f t="shared" ref="AD183:AE183" ca="1" si="510">TODAY()-34</f>
        <v>41088</v>
      </c>
      <c r="AE183" s="25">
        <f t="shared" ca="1" si="510"/>
        <v>41088</v>
      </c>
      <c r="AF183" s="8"/>
      <c r="AG183" s="59" t="str">
        <f t="shared" ca="1" si="360"/>
        <v>NA</v>
      </c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59" t="str">
        <f t="shared" si="409"/>
        <v>NA</v>
      </c>
      <c r="AS183" s="59" t="str">
        <f t="shared" si="410"/>
        <v/>
      </c>
      <c r="AT183" s="59"/>
      <c r="AU183" s="59" t="str">
        <f t="shared" si="337"/>
        <v>ND</v>
      </c>
      <c r="AV183" s="66"/>
      <c r="AW183" s="66"/>
      <c r="AX183" s="66"/>
      <c r="AY183" s="66"/>
      <c r="AZ183" s="8"/>
      <c r="BA183" s="8" t="s">
        <v>37</v>
      </c>
      <c r="BB183" s="8"/>
      <c r="BC183" s="8"/>
      <c r="BD183" s="8"/>
      <c r="BE183" s="8"/>
      <c r="BF183" s="8"/>
      <c r="BG183" s="8"/>
      <c r="BH183" s="8"/>
      <c r="BI183" s="8"/>
      <c r="BJ183" s="8"/>
      <c r="BK183" s="59"/>
      <c r="BL183" s="59"/>
      <c r="BM183" s="59"/>
      <c r="BN183" s="164">
        <v>0.01</v>
      </c>
      <c r="BO183" s="165">
        <f t="shared" si="361"/>
        <v>3783.3333333333335</v>
      </c>
      <c r="BP183" s="165">
        <f t="shared" ref="BP183:BQ183" si="511">BO183</f>
        <v>3783.3333333333335</v>
      </c>
      <c r="BQ183" s="165">
        <f t="shared" si="511"/>
        <v>3783.3333333333335</v>
      </c>
      <c r="BR183" s="59"/>
      <c r="BS183" s="59"/>
      <c r="BT183" s="59"/>
      <c r="BU183" s="59"/>
      <c r="BV183" s="59" t="str">
        <f t="shared" si="402"/>
        <v>ND</v>
      </c>
      <c r="BW183" s="59" t="str">
        <f t="shared" si="403"/>
        <v>ND</v>
      </c>
      <c r="BX183" s="59" t="str">
        <f t="shared" si="404"/>
        <v>ND</v>
      </c>
      <c r="BY183" s="59" t="str">
        <f t="shared" si="405"/>
        <v>ND</v>
      </c>
      <c r="BZ183" s="59" t="str">
        <f t="shared" si="339"/>
        <v>NA</v>
      </c>
      <c r="CA183" s="59" t="str">
        <f t="shared" si="340"/>
        <v/>
      </c>
      <c r="CB183" s="59" t="str">
        <f t="shared" si="341"/>
        <v>NA</v>
      </c>
      <c r="CC183" s="59" t="str">
        <f t="shared" si="342"/>
        <v/>
      </c>
      <c r="CD183" s="59" t="str">
        <f t="shared" si="343"/>
        <v>NA</v>
      </c>
      <c r="CE183" s="59" t="str">
        <f t="shared" si="344"/>
        <v/>
      </c>
      <c r="CF183" s="59" t="str">
        <f t="shared" si="345"/>
        <v>NA</v>
      </c>
      <c r="CG183" s="59" t="str">
        <f t="shared" ca="1" si="346"/>
        <v>NA</v>
      </c>
      <c r="CH183" s="59" t="str">
        <f t="shared" ca="1" si="347"/>
        <v>NA</v>
      </c>
      <c r="CI183" s="59" t="str">
        <f t="shared" ca="1" si="348"/>
        <v>DE 31 A 35 DIAS</v>
      </c>
      <c r="CJ183" s="59" t="str">
        <f t="shared" ca="1" si="349"/>
        <v>DE 31 A 35 DIAS</v>
      </c>
      <c r="CK183" s="59" t="str">
        <f t="shared" ca="1" si="350"/>
        <v>DE 31 A 35 DIAS</v>
      </c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>
        <f t="shared" si="363"/>
        <v>0</v>
      </c>
      <c r="DH183" s="8">
        <f t="shared" si="364"/>
        <v>0</v>
      </c>
      <c r="DI183" s="8">
        <f t="shared" si="365"/>
        <v>0</v>
      </c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59" t="str">
        <f t="shared" si="366"/>
        <v>NA</v>
      </c>
      <c r="DU183" s="59" t="str">
        <f t="shared" si="367"/>
        <v>NA</v>
      </c>
      <c r="DV183" s="59" t="str">
        <f t="shared" si="368"/>
        <v>NA</v>
      </c>
      <c r="DW183" s="59" t="str">
        <f t="shared" si="369"/>
        <v>NA</v>
      </c>
      <c r="DX183" s="59" t="str">
        <f t="shared" si="370"/>
        <v>NA</v>
      </c>
      <c r="DY183" s="59" t="str">
        <f t="shared" si="371"/>
        <v>NA</v>
      </c>
      <c r="DZ183" s="59" t="str">
        <f t="shared" si="372"/>
        <v>NA</v>
      </c>
      <c r="EA183" s="59" t="str">
        <f t="shared" si="373"/>
        <v>NA</v>
      </c>
      <c r="EB183" s="59" t="str">
        <f t="shared" si="374"/>
        <v>NA</v>
      </c>
      <c r="EC183" s="59" t="str">
        <f t="shared" si="375"/>
        <v>NA</v>
      </c>
      <c r="ED183" s="59" t="str">
        <f t="shared" si="376"/>
        <v/>
      </c>
      <c r="EE183" s="59" t="str">
        <f t="shared" si="377"/>
        <v/>
      </c>
      <c r="EF183" s="59" t="str">
        <f t="shared" si="378"/>
        <v/>
      </c>
      <c r="EG183" s="59" t="str">
        <f t="shared" si="379"/>
        <v/>
      </c>
      <c r="EH183" s="59" t="str">
        <f t="shared" si="380"/>
        <v/>
      </c>
      <c r="EI183" s="59" t="str">
        <f t="shared" si="381"/>
        <v/>
      </c>
      <c r="EJ183" s="59" t="str">
        <f t="shared" si="382"/>
        <v/>
      </c>
      <c r="EK183" s="59" t="str">
        <f t="shared" si="383"/>
        <v/>
      </c>
      <c r="EL183" s="59" t="str">
        <f t="shared" si="384"/>
        <v/>
      </c>
      <c r="EM183" s="59" t="str">
        <f t="shared" si="385"/>
        <v/>
      </c>
      <c r="EN183" s="59" t="str">
        <f t="shared" si="386"/>
        <v/>
      </c>
      <c r="EO183" s="59" t="str">
        <f t="shared" si="387"/>
        <v/>
      </c>
      <c r="EP183" s="59" t="str">
        <f t="shared" si="388"/>
        <v/>
      </c>
      <c r="EQ183" s="59" t="str">
        <f t="shared" si="389"/>
        <v/>
      </c>
      <c r="ER183" s="59" t="str">
        <f t="shared" si="390"/>
        <v/>
      </c>
      <c r="ES183" s="59" t="str">
        <f t="shared" si="391"/>
        <v/>
      </c>
      <c r="ET183" s="59" t="str">
        <f t="shared" si="392"/>
        <v/>
      </c>
      <c r="EU183" s="59" t="str">
        <f t="shared" si="393"/>
        <v/>
      </c>
      <c r="EV183" s="59" t="str">
        <f t="shared" si="394"/>
        <v/>
      </c>
      <c r="EW183" s="59" t="str">
        <f t="shared" si="395"/>
        <v/>
      </c>
      <c r="EX183" s="56">
        <f t="shared" si="351"/>
        <v>1135000</v>
      </c>
    </row>
    <row r="184" spans="1:154" x14ac:dyDescent="0.25">
      <c r="A184" s="2">
        <f t="shared" si="396"/>
        <v>183</v>
      </c>
      <c r="B184" s="2" t="s">
        <v>6</v>
      </c>
      <c r="C184" s="2" t="str">
        <f t="shared" si="352"/>
        <v>030305</v>
      </c>
      <c r="D184" s="2">
        <v>3</v>
      </c>
      <c r="E184" s="2">
        <v>3</v>
      </c>
      <c r="F184" s="2">
        <v>5</v>
      </c>
      <c r="G184" s="11" t="s">
        <v>20</v>
      </c>
      <c r="H184" s="4"/>
      <c r="I184" s="42" t="s">
        <v>58</v>
      </c>
      <c r="J184" s="9">
        <v>80</v>
      </c>
      <c r="K184" s="5"/>
      <c r="L184" s="6" t="s">
        <v>306</v>
      </c>
      <c r="M184" s="22" t="s">
        <v>176</v>
      </c>
      <c r="N184" s="7">
        <f t="shared" si="397"/>
        <v>1126000</v>
      </c>
      <c r="O184" s="8">
        <v>222</v>
      </c>
      <c r="P184" s="25">
        <v>41167</v>
      </c>
      <c r="Q184" s="8" t="str">
        <f t="shared" si="353"/>
        <v>2DA-SEP</v>
      </c>
      <c r="R184" s="26">
        <v>0.4</v>
      </c>
      <c r="S184" s="41" t="s">
        <v>34</v>
      </c>
      <c r="T184" s="8" t="s">
        <v>352</v>
      </c>
      <c r="U184" s="8"/>
      <c r="V184" s="7">
        <v>563000</v>
      </c>
      <c r="W184" s="7">
        <f t="shared" ref="W184:W209" si="512">+V184*0</f>
        <v>0</v>
      </c>
      <c r="X184" s="7">
        <f t="shared" si="355"/>
        <v>563000</v>
      </c>
      <c r="Y184" s="7">
        <v>0</v>
      </c>
      <c r="Z184" s="7">
        <f t="shared" si="356"/>
        <v>0</v>
      </c>
      <c r="AA184" s="148" t="str">
        <f t="shared" si="357"/>
        <v>5%</v>
      </c>
      <c r="AB184" s="148">
        <f t="shared" si="358"/>
        <v>0.95</v>
      </c>
      <c r="AC184" s="25">
        <f ca="1">TODAY()-39</f>
        <v>41083</v>
      </c>
      <c r="AD184" s="25">
        <f t="shared" ref="AD184:AE184" ca="1" si="513">TODAY()-39</f>
        <v>41083</v>
      </c>
      <c r="AE184" s="25">
        <f t="shared" ca="1" si="513"/>
        <v>41083</v>
      </c>
      <c r="AF184" s="8"/>
      <c r="AG184" s="59" t="str">
        <f t="shared" ca="1" si="360"/>
        <v>NA</v>
      </c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59" t="str">
        <f t="shared" si="409"/>
        <v>NA</v>
      </c>
      <c r="AS184" s="59" t="str">
        <f t="shared" si="410"/>
        <v/>
      </c>
      <c r="AT184" s="59"/>
      <c r="AU184" s="59" t="str">
        <f t="shared" si="337"/>
        <v>ND</v>
      </c>
      <c r="AV184" s="66"/>
      <c r="AW184" s="66"/>
      <c r="AX184" s="66"/>
      <c r="AY184" s="66"/>
      <c r="AZ184" s="8"/>
      <c r="BA184" s="8" t="s">
        <v>37</v>
      </c>
      <c r="BB184" s="8"/>
      <c r="BC184" s="8"/>
      <c r="BD184" s="8"/>
      <c r="BE184" s="8"/>
      <c r="BF184" s="8"/>
      <c r="BG184" s="8"/>
      <c r="BH184" s="8"/>
      <c r="BI184" s="8"/>
      <c r="BJ184" s="8"/>
      <c r="BK184" s="59"/>
      <c r="BL184" s="59"/>
      <c r="BM184" s="59"/>
      <c r="BN184" s="164">
        <v>0.01</v>
      </c>
      <c r="BO184" s="165">
        <f t="shared" si="361"/>
        <v>3753.3333333333335</v>
      </c>
      <c r="BP184" s="165">
        <f t="shared" ref="BP184:BQ184" si="514">BO184</f>
        <v>3753.3333333333335</v>
      </c>
      <c r="BQ184" s="165">
        <f t="shared" si="514"/>
        <v>3753.3333333333335</v>
      </c>
      <c r="BR184" s="59"/>
      <c r="BS184" s="59"/>
      <c r="BT184" s="59"/>
      <c r="BU184" s="59"/>
      <c r="BV184" s="59" t="str">
        <f t="shared" si="402"/>
        <v>ND</v>
      </c>
      <c r="BW184" s="59" t="str">
        <f t="shared" si="403"/>
        <v>ND</v>
      </c>
      <c r="BX184" s="59" t="str">
        <f t="shared" si="404"/>
        <v>ND</v>
      </c>
      <c r="BY184" s="59" t="str">
        <f t="shared" si="405"/>
        <v>ND</v>
      </c>
      <c r="BZ184" s="59" t="str">
        <f t="shared" si="339"/>
        <v>NA</v>
      </c>
      <c r="CA184" s="59" t="str">
        <f t="shared" si="340"/>
        <v/>
      </c>
      <c r="CB184" s="59" t="str">
        <f t="shared" si="341"/>
        <v>NA</v>
      </c>
      <c r="CC184" s="59" t="str">
        <f t="shared" si="342"/>
        <v/>
      </c>
      <c r="CD184" s="59" t="str">
        <f t="shared" si="343"/>
        <v>NA</v>
      </c>
      <c r="CE184" s="59" t="str">
        <f t="shared" si="344"/>
        <v/>
      </c>
      <c r="CF184" s="59" t="str">
        <f t="shared" si="345"/>
        <v>NA</v>
      </c>
      <c r="CG184" s="59" t="str">
        <f t="shared" ca="1" si="346"/>
        <v>NA</v>
      </c>
      <c r="CH184" s="59" t="str">
        <f t="shared" ca="1" si="347"/>
        <v>NA</v>
      </c>
      <c r="CI184" s="59" t="str">
        <f t="shared" ca="1" si="348"/>
        <v>DE 36 A 45 DIAS</v>
      </c>
      <c r="CJ184" s="59" t="str">
        <f t="shared" ca="1" si="349"/>
        <v>DE 36 A 45 DIAS</v>
      </c>
      <c r="CK184" s="59" t="str">
        <f t="shared" ca="1" si="350"/>
        <v>DE 36 A 45 DIAS</v>
      </c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>
        <f t="shared" si="363"/>
        <v>0</v>
      </c>
      <c r="DH184" s="8">
        <f t="shared" si="364"/>
        <v>0</v>
      </c>
      <c r="DI184" s="8">
        <f t="shared" si="365"/>
        <v>0</v>
      </c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59" t="str">
        <f t="shared" si="366"/>
        <v>NA</v>
      </c>
      <c r="DU184" s="59" t="str">
        <f t="shared" si="367"/>
        <v>NA</v>
      </c>
      <c r="DV184" s="59" t="str">
        <f t="shared" si="368"/>
        <v>NA</v>
      </c>
      <c r="DW184" s="59" t="str">
        <f t="shared" si="369"/>
        <v>NA</v>
      </c>
      <c r="DX184" s="59" t="str">
        <f t="shared" si="370"/>
        <v>NA</v>
      </c>
      <c r="DY184" s="59" t="str">
        <f t="shared" si="371"/>
        <v>NA</v>
      </c>
      <c r="DZ184" s="59" t="str">
        <f t="shared" si="372"/>
        <v>NA</v>
      </c>
      <c r="EA184" s="59" t="str">
        <f t="shared" si="373"/>
        <v>NA</v>
      </c>
      <c r="EB184" s="59" t="str">
        <f t="shared" si="374"/>
        <v>NA</v>
      </c>
      <c r="EC184" s="59" t="str">
        <f t="shared" si="375"/>
        <v>NA</v>
      </c>
      <c r="ED184" s="59" t="str">
        <f t="shared" si="376"/>
        <v/>
      </c>
      <c r="EE184" s="59" t="str">
        <f t="shared" si="377"/>
        <v/>
      </c>
      <c r="EF184" s="59" t="str">
        <f t="shared" si="378"/>
        <v/>
      </c>
      <c r="EG184" s="59" t="str">
        <f t="shared" si="379"/>
        <v/>
      </c>
      <c r="EH184" s="59" t="str">
        <f t="shared" si="380"/>
        <v/>
      </c>
      <c r="EI184" s="59" t="str">
        <f t="shared" si="381"/>
        <v/>
      </c>
      <c r="EJ184" s="59" t="str">
        <f t="shared" si="382"/>
        <v/>
      </c>
      <c r="EK184" s="59" t="str">
        <f t="shared" si="383"/>
        <v/>
      </c>
      <c r="EL184" s="59" t="str">
        <f t="shared" si="384"/>
        <v/>
      </c>
      <c r="EM184" s="59" t="str">
        <f t="shared" si="385"/>
        <v/>
      </c>
      <c r="EN184" s="59" t="str">
        <f t="shared" si="386"/>
        <v/>
      </c>
      <c r="EO184" s="59" t="str">
        <f t="shared" si="387"/>
        <v/>
      </c>
      <c r="EP184" s="59" t="str">
        <f t="shared" si="388"/>
        <v/>
      </c>
      <c r="EQ184" s="59" t="str">
        <f t="shared" si="389"/>
        <v/>
      </c>
      <c r="ER184" s="59" t="str">
        <f t="shared" si="390"/>
        <v/>
      </c>
      <c r="ES184" s="59" t="str">
        <f t="shared" si="391"/>
        <v/>
      </c>
      <c r="ET184" s="59" t="str">
        <f t="shared" si="392"/>
        <v/>
      </c>
      <c r="EU184" s="59" t="str">
        <f t="shared" si="393"/>
        <v/>
      </c>
      <c r="EV184" s="59" t="str">
        <f t="shared" si="394"/>
        <v/>
      </c>
      <c r="EW184" s="59" t="str">
        <f t="shared" si="395"/>
        <v/>
      </c>
      <c r="EX184" s="56">
        <f t="shared" si="351"/>
        <v>1126000</v>
      </c>
    </row>
    <row r="185" spans="1:154" x14ac:dyDescent="0.25">
      <c r="A185" s="2">
        <f t="shared" si="396"/>
        <v>184</v>
      </c>
      <c r="B185" s="2" t="s">
        <v>6</v>
      </c>
      <c r="C185" s="2" t="str">
        <f t="shared" si="352"/>
        <v>030306</v>
      </c>
      <c r="D185" s="2">
        <v>3</v>
      </c>
      <c r="E185" s="2">
        <v>3</v>
      </c>
      <c r="F185" s="2">
        <v>6</v>
      </c>
      <c r="G185" s="11" t="s">
        <v>20</v>
      </c>
      <c r="H185" s="4"/>
      <c r="I185" s="42" t="s">
        <v>58</v>
      </c>
      <c r="J185" s="9">
        <v>80</v>
      </c>
      <c r="K185" s="5"/>
      <c r="L185" s="6" t="s">
        <v>306</v>
      </c>
      <c r="M185" s="22" t="s">
        <v>176</v>
      </c>
      <c r="N185" s="7">
        <f t="shared" si="397"/>
        <v>1126000</v>
      </c>
      <c r="O185" s="8">
        <v>223</v>
      </c>
      <c r="P185" s="25">
        <v>41167</v>
      </c>
      <c r="Q185" s="8" t="str">
        <f t="shared" si="353"/>
        <v>2DA-SEP</v>
      </c>
      <c r="R185" s="26">
        <v>0.4</v>
      </c>
      <c r="S185" s="41" t="s">
        <v>34</v>
      </c>
      <c r="T185" s="8" t="s">
        <v>352</v>
      </c>
      <c r="U185" s="8"/>
      <c r="V185" s="7">
        <v>563000</v>
      </c>
      <c r="W185" s="7">
        <f t="shared" si="512"/>
        <v>0</v>
      </c>
      <c r="X185" s="7">
        <f t="shared" si="355"/>
        <v>563000</v>
      </c>
      <c r="Y185" s="7">
        <v>0</v>
      </c>
      <c r="Z185" s="7">
        <f t="shared" si="356"/>
        <v>0</v>
      </c>
      <c r="AA185" s="148" t="str">
        <f t="shared" si="357"/>
        <v>5%</v>
      </c>
      <c r="AB185" s="148">
        <f t="shared" si="358"/>
        <v>0.95</v>
      </c>
      <c r="AC185" s="25">
        <f ca="1">TODAY()-45</f>
        <v>41077</v>
      </c>
      <c r="AD185" s="25">
        <f t="shared" ref="AD185:AE185" ca="1" si="515">TODAY()-45</f>
        <v>41077</v>
      </c>
      <c r="AE185" s="25">
        <f t="shared" ca="1" si="515"/>
        <v>41077</v>
      </c>
      <c r="AF185" s="8"/>
      <c r="AG185" s="59" t="str">
        <f t="shared" ca="1" si="360"/>
        <v>NA</v>
      </c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59" t="str">
        <f t="shared" si="409"/>
        <v>NA</v>
      </c>
      <c r="AS185" s="59" t="str">
        <f t="shared" si="410"/>
        <v/>
      </c>
      <c r="AT185" s="59"/>
      <c r="AU185" s="59" t="str">
        <f t="shared" si="337"/>
        <v>ND</v>
      </c>
      <c r="AV185" s="66"/>
      <c r="AW185" s="66"/>
      <c r="AX185" s="66"/>
      <c r="AY185" s="66"/>
      <c r="AZ185" s="8"/>
      <c r="BA185" s="8" t="s">
        <v>37</v>
      </c>
      <c r="BB185" s="8"/>
      <c r="BC185" s="8"/>
      <c r="BD185" s="8"/>
      <c r="BE185" s="8"/>
      <c r="BF185" s="8"/>
      <c r="BG185" s="8"/>
      <c r="BH185" s="8"/>
      <c r="BI185" s="8"/>
      <c r="BJ185" s="8"/>
      <c r="BK185" s="59"/>
      <c r="BL185" s="59"/>
      <c r="BM185" s="59"/>
      <c r="BN185" s="164">
        <v>0.01</v>
      </c>
      <c r="BO185" s="165">
        <f t="shared" si="361"/>
        <v>3753.3333333333335</v>
      </c>
      <c r="BP185" s="165">
        <f t="shared" ref="BP185:BQ185" si="516">BO185</f>
        <v>3753.3333333333335</v>
      </c>
      <c r="BQ185" s="165">
        <f t="shared" si="516"/>
        <v>3753.3333333333335</v>
      </c>
      <c r="BR185" s="59"/>
      <c r="BS185" s="59"/>
      <c r="BT185" s="59"/>
      <c r="BU185" s="59"/>
      <c r="BV185" s="59" t="str">
        <f t="shared" si="402"/>
        <v>ND</v>
      </c>
      <c r="BW185" s="59" t="str">
        <f t="shared" si="403"/>
        <v>ND</v>
      </c>
      <c r="BX185" s="59" t="str">
        <f t="shared" si="404"/>
        <v>ND</v>
      </c>
      <c r="BY185" s="59" t="str">
        <f t="shared" si="405"/>
        <v>ND</v>
      </c>
      <c r="BZ185" s="59" t="str">
        <f t="shared" si="339"/>
        <v>NA</v>
      </c>
      <c r="CA185" s="59" t="str">
        <f t="shared" si="340"/>
        <v/>
      </c>
      <c r="CB185" s="59" t="str">
        <f t="shared" si="341"/>
        <v>NA</v>
      </c>
      <c r="CC185" s="59" t="str">
        <f t="shared" si="342"/>
        <v/>
      </c>
      <c r="CD185" s="59" t="str">
        <f t="shared" si="343"/>
        <v>NA</v>
      </c>
      <c r="CE185" s="59" t="str">
        <f t="shared" si="344"/>
        <v/>
      </c>
      <c r="CF185" s="59" t="str">
        <f t="shared" si="345"/>
        <v>NA</v>
      </c>
      <c r="CG185" s="59" t="str">
        <f t="shared" ca="1" si="346"/>
        <v>NA</v>
      </c>
      <c r="CH185" s="59" t="str">
        <f t="shared" ca="1" si="347"/>
        <v>NA</v>
      </c>
      <c r="CI185" s="59" t="str">
        <f t="shared" ca="1" si="348"/>
        <v>DE 36 A 45 DIAS</v>
      </c>
      <c r="CJ185" s="59" t="str">
        <f t="shared" ca="1" si="349"/>
        <v>DE 36 A 45 DIAS</v>
      </c>
      <c r="CK185" s="59" t="str">
        <f t="shared" ca="1" si="350"/>
        <v>DE 36 A 45 DIAS</v>
      </c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>
        <f t="shared" si="363"/>
        <v>0</v>
      </c>
      <c r="DH185" s="8">
        <f t="shared" si="364"/>
        <v>0</v>
      </c>
      <c r="DI185" s="8">
        <f t="shared" si="365"/>
        <v>0</v>
      </c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59" t="str">
        <f t="shared" si="366"/>
        <v>NA</v>
      </c>
      <c r="DU185" s="59" t="str">
        <f t="shared" si="367"/>
        <v>NA</v>
      </c>
      <c r="DV185" s="59" t="str">
        <f t="shared" si="368"/>
        <v>NA</v>
      </c>
      <c r="DW185" s="59" t="str">
        <f t="shared" si="369"/>
        <v>NA</v>
      </c>
      <c r="DX185" s="59" t="str">
        <f t="shared" si="370"/>
        <v>NA</v>
      </c>
      <c r="DY185" s="59" t="str">
        <f t="shared" si="371"/>
        <v>NA</v>
      </c>
      <c r="DZ185" s="59" t="str">
        <f t="shared" si="372"/>
        <v>NA</v>
      </c>
      <c r="EA185" s="59" t="str">
        <f t="shared" si="373"/>
        <v>NA</v>
      </c>
      <c r="EB185" s="59" t="str">
        <f t="shared" si="374"/>
        <v>NA</v>
      </c>
      <c r="EC185" s="59" t="str">
        <f t="shared" si="375"/>
        <v>NA</v>
      </c>
      <c r="ED185" s="59" t="str">
        <f t="shared" si="376"/>
        <v/>
      </c>
      <c r="EE185" s="59" t="str">
        <f t="shared" si="377"/>
        <v/>
      </c>
      <c r="EF185" s="59" t="str">
        <f t="shared" si="378"/>
        <v/>
      </c>
      <c r="EG185" s="59" t="str">
        <f t="shared" si="379"/>
        <v/>
      </c>
      <c r="EH185" s="59" t="str">
        <f t="shared" si="380"/>
        <v/>
      </c>
      <c r="EI185" s="59" t="str">
        <f t="shared" si="381"/>
        <v/>
      </c>
      <c r="EJ185" s="59" t="str">
        <f t="shared" si="382"/>
        <v/>
      </c>
      <c r="EK185" s="59" t="str">
        <f t="shared" si="383"/>
        <v/>
      </c>
      <c r="EL185" s="59" t="str">
        <f t="shared" si="384"/>
        <v/>
      </c>
      <c r="EM185" s="59" t="str">
        <f t="shared" si="385"/>
        <v/>
      </c>
      <c r="EN185" s="59" t="str">
        <f t="shared" si="386"/>
        <v/>
      </c>
      <c r="EO185" s="59" t="str">
        <f t="shared" si="387"/>
        <v/>
      </c>
      <c r="EP185" s="59" t="str">
        <f t="shared" si="388"/>
        <v/>
      </c>
      <c r="EQ185" s="59" t="str">
        <f t="shared" si="389"/>
        <v/>
      </c>
      <c r="ER185" s="59" t="str">
        <f t="shared" si="390"/>
        <v/>
      </c>
      <c r="ES185" s="59" t="str">
        <f t="shared" si="391"/>
        <v/>
      </c>
      <c r="ET185" s="59" t="str">
        <f t="shared" si="392"/>
        <v/>
      </c>
      <c r="EU185" s="59" t="str">
        <f t="shared" si="393"/>
        <v/>
      </c>
      <c r="EV185" s="59" t="str">
        <f t="shared" si="394"/>
        <v/>
      </c>
      <c r="EW185" s="59" t="str">
        <f t="shared" si="395"/>
        <v/>
      </c>
      <c r="EX185" s="56">
        <f t="shared" si="351"/>
        <v>1126000</v>
      </c>
    </row>
    <row r="186" spans="1:154" x14ac:dyDescent="0.25">
      <c r="A186" s="2">
        <f t="shared" si="396"/>
        <v>185</v>
      </c>
      <c r="B186" s="2" t="s">
        <v>6</v>
      </c>
      <c r="C186" s="2" t="str">
        <f t="shared" si="352"/>
        <v>030307</v>
      </c>
      <c r="D186" s="2">
        <v>3</v>
      </c>
      <c r="E186" s="2">
        <v>3</v>
      </c>
      <c r="F186" s="2">
        <v>7</v>
      </c>
      <c r="G186" s="11" t="s">
        <v>20</v>
      </c>
      <c r="H186" s="4"/>
      <c r="I186" s="42" t="s">
        <v>58</v>
      </c>
      <c r="J186" s="9">
        <v>108.857</v>
      </c>
      <c r="K186" s="9"/>
      <c r="L186" s="10" t="s">
        <v>8</v>
      </c>
      <c r="M186" s="22" t="s">
        <v>176</v>
      </c>
      <c r="N186" s="7">
        <f t="shared" si="397"/>
        <v>1244656.6000000001</v>
      </c>
      <c r="O186" s="8">
        <v>224</v>
      </c>
      <c r="P186" s="25">
        <v>41167</v>
      </c>
      <c r="Q186" s="8" t="str">
        <f t="shared" si="353"/>
        <v>2DA-SEP</v>
      </c>
      <c r="R186" s="26">
        <v>0.3</v>
      </c>
      <c r="S186" s="41" t="s">
        <v>34</v>
      </c>
      <c r="T186" s="8" t="s">
        <v>352</v>
      </c>
      <c r="U186" s="8"/>
      <c r="V186" s="7">
        <v>622328.30000000005</v>
      </c>
      <c r="W186" s="7">
        <f t="shared" si="512"/>
        <v>0</v>
      </c>
      <c r="X186" s="7">
        <f t="shared" si="355"/>
        <v>622328.30000000005</v>
      </c>
      <c r="Y186" s="7">
        <v>0</v>
      </c>
      <c r="Z186" s="7">
        <f t="shared" si="356"/>
        <v>0</v>
      </c>
      <c r="AA186" s="148" t="str">
        <f t="shared" si="357"/>
        <v>5%</v>
      </c>
      <c r="AB186" s="148">
        <f t="shared" si="358"/>
        <v>0.95</v>
      </c>
      <c r="AC186" s="25">
        <f ca="1">TODAY()-50</f>
        <v>41072</v>
      </c>
      <c r="AD186" s="25">
        <f t="shared" ref="AD186:AE186" ca="1" si="517">TODAY()-50</f>
        <v>41072</v>
      </c>
      <c r="AE186" s="25">
        <f t="shared" ca="1" si="517"/>
        <v>41072</v>
      </c>
      <c r="AF186" s="8"/>
      <c r="AG186" s="59" t="str">
        <f t="shared" ca="1" si="360"/>
        <v>NA</v>
      </c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59" t="str">
        <f t="shared" si="409"/>
        <v>NA</v>
      </c>
      <c r="AS186" s="59" t="str">
        <f t="shared" si="410"/>
        <v/>
      </c>
      <c r="AT186" s="59"/>
      <c r="AU186" s="59" t="str">
        <f t="shared" si="337"/>
        <v>ND</v>
      </c>
      <c r="AV186" s="66"/>
      <c r="AW186" s="66"/>
      <c r="AX186" s="66"/>
      <c r="AY186" s="66"/>
      <c r="AZ186" s="8"/>
      <c r="BA186" s="8" t="s">
        <v>37</v>
      </c>
      <c r="BB186" s="8"/>
      <c r="BC186" s="8"/>
      <c r="BD186" s="8"/>
      <c r="BE186" s="8"/>
      <c r="BF186" s="8"/>
      <c r="BG186" s="8"/>
      <c r="BH186" s="8"/>
      <c r="BI186" s="8"/>
      <c r="BJ186" s="8"/>
      <c r="BK186" s="59"/>
      <c r="BL186" s="59"/>
      <c r="BM186" s="59"/>
      <c r="BN186" s="164">
        <v>0.01</v>
      </c>
      <c r="BO186" s="165">
        <f t="shared" si="361"/>
        <v>4148.8553333333339</v>
      </c>
      <c r="BP186" s="165">
        <f t="shared" ref="BP186:BQ186" si="518">BO186</f>
        <v>4148.8553333333339</v>
      </c>
      <c r="BQ186" s="165">
        <f t="shared" si="518"/>
        <v>4148.8553333333339</v>
      </c>
      <c r="BR186" s="59"/>
      <c r="BS186" s="59"/>
      <c r="BT186" s="59"/>
      <c r="BU186" s="59"/>
      <c r="BV186" s="59" t="str">
        <f t="shared" si="402"/>
        <v>ND</v>
      </c>
      <c r="BW186" s="59" t="str">
        <f t="shared" si="403"/>
        <v>ND</v>
      </c>
      <c r="BX186" s="59" t="str">
        <f t="shared" si="404"/>
        <v>ND</v>
      </c>
      <c r="BY186" s="59" t="str">
        <f t="shared" si="405"/>
        <v>ND</v>
      </c>
      <c r="BZ186" s="59" t="str">
        <f t="shared" si="339"/>
        <v>NA</v>
      </c>
      <c r="CA186" s="59" t="str">
        <f t="shared" si="340"/>
        <v/>
      </c>
      <c r="CB186" s="59" t="str">
        <f t="shared" si="341"/>
        <v>NA</v>
      </c>
      <c r="CC186" s="59" t="str">
        <f t="shared" si="342"/>
        <v/>
      </c>
      <c r="CD186" s="59" t="str">
        <f t="shared" si="343"/>
        <v>NA</v>
      </c>
      <c r="CE186" s="59" t="str">
        <f t="shared" si="344"/>
        <v/>
      </c>
      <c r="CF186" s="59" t="str">
        <f t="shared" si="345"/>
        <v>NA</v>
      </c>
      <c r="CG186" s="59" t="str">
        <f t="shared" ca="1" si="346"/>
        <v>NA</v>
      </c>
      <c r="CH186" s="59" t="str">
        <f t="shared" ca="1" si="347"/>
        <v>NA</v>
      </c>
      <c r="CI186" s="59" t="str">
        <f t="shared" ca="1" si="348"/>
        <v>MAYOR A 45 DIAS</v>
      </c>
      <c r="CJ186" s="59" t="str">
        <f t="shared" ca="1" si="349"/>
        <v>MAYOR A 45 DIAS</v>
      </c>
      <c r="CK186" s="59" t="str">
        <f t="shared" ca="1" si="350"/>
        <v>MAYOR A 45 DIAS</v>
      </c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>
        <f t="shared" si="363"/>
        <v>0</v>
      </c>
      <c r="DH186" s="8">
        <f t="shared" si="364"/>
        <v>0</v>
      </c>
      <c r="DI186" s="8">
        <f t="shared" si="365"/>
        <v>0</v>
      </c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59" t="str">
        <f t="shared" si="366"/>
        <v>NA</v>
      </c>
      <c r="DU186" s="59" t="str">
        <f t="shared" si="367"/>
        <v>NA</v>
      </c>
      <c r="DV186" s="59" t="str">
        <f t="shared" si="368"/>
        <v>NA</v>
      </c>
      <c r="DW186" s="59" t="str">
        <f t="shared" si="369"/>
        <v>NA</v>
      </c>
      <c r="DX186" s="59" t="str">
        <f t="shared" si="370"/>
        <v>NA</v>
      </c>
      <c r="DY186" s="59" t="str">
        <f t="shared" si="371"/>
        <v>NA</v>
      </c>
      <c r="DZ186" s="59" t="str">
        <f t="shared" si="372"/>
        <v>NA</v>
      </c>
      <c r="EA186" s="59" t="str">
        <f t="shared" si="373"/>
        <v>NA</v>
      </c>
      <c r="EB186" s="59" t="str">
        <f t="shared" si="374"/>
        <v>NA</v>
      </c>
      <c r="EC186" s="59" t="str">
        <f t="shared" si="375"/>
        <v>NA</v>
      </c>
      <c r="ED186" s="59" t="str">
        <f t="shared" si="376"/>
        <v/>
      </c>
      <c r="EE186" s="59" t="str">
        <f t="shared" si="377"/>
        <v/>
      </c>
      <c r="EF186" s="59" t="str">
        <f t="shared" si="378"/>
        <v/>
      </c>
      <c r="EG186" s="59" t="str">
        <f t="shared" si="379"/>
        <v/>
      </c>
      <c r="EH186" s="59" t="str">
        <f t="shared" si="380"/>
        <v/>
      </c>
      <c r="EI186" s="59" t="str">
        <f t="shared" si="381"/>
        <v/>
      </c>
      <c r="EJ186" s="59" t="str">
        <f t="shared" si="382"/>
        <v/>
      </c>
      <c r="EK186" s="59" t="str">
        <f t="shared" si="383"/>
        <v/>
      </c>
      <c r="EL186" s="59" t="str">
        <f t="shared" si="384"/>
        <v/>
      </c>
      <c r="EM186" s="59" t="str">
        <f t="shared" si="385"/>
        <v/>
      </c>
      <c r="EN186" s="59" t="str">
        <f t="shared" si="386"/>
        <v/>
      </c>
      <c r="EO186" s="59" t="str">
        <f t="shared" si="387"/>
        <v/>
      </c>
      <c r="EP186" s="59" t="str">
        <f t="shared" si="388"/>
        <v/>
      </c>
      <c r="EQ186" s="59" t="str">
        <f t="shared" si="389"/>
        <v/>
      </c>
      <c r="ER186" s="59" t="str">
        <f t="shared" si="390"/>
        <v/>
      </c>
      <c r="ES186" s="59" t="str">
        <f t="shared" si="391"/>
        <v/>
      </c>
      <c r="ET186" s="59" t="str">
        <f t="shared" si="392"/>
        <v/>
      </c>
      <c r="EU186" s="59" t="str">
        <f t="shared" si="393"/>
        <v/>
      </c>
      <c r="EV186" s="59" t="str">
        <f t="shared" si="394"/>
        <v/>
      </c>
      <c r="EW186" s="59" t="str">
        <f t="shared" si="395"/>
        <v/>
      </c>
      <c r="EX186" s="56">
        <f t="shared" si="351"/>
        <v>1244656.6000000001</v>
      </c>
    </row>
    <row r="187" spans="1:154" x14ac:dyDescent="0.25">
      <c r="A187" s="2">
        <f t="shared" si="396"/>
        <v>186</v>
      </c>
      <c r="B187" s="2" t="s">
        <v>6</v>
      </c>
      <c r="C187" s="2" t="str">
        <f t="shared" si="352"/>
        <v>030308</v>
      </c>
      <c r="D187" s="2">
        <v>3</v>
      </c>
      <c r="E187" s="2">
        <v>3</v>
      </c>
      <c r="F187" s="2">
        <v>8</v>
      </c>
      <c r="G187" s="11" t="s">
        <v>20</v>
      </c>
      <c r="H187" s="4"/>
      <c r="I187" s="42" t="s">
        <v>58</v>
      </c>
      <c r="J187" s="9">
        <v>116.286</v>
      </c>
      <c r="K187" s="9"/>
      <c r="L187" s="10" t="s">
        <v>8</v>
      </c>
      <c r="M187" s="22" t="s">
        <v>176</v>
      </c>
      <c r="N187" s="7">
        <f t="shared" si="397"/>
        <v>1272886.8</v>
      </c>
      <c r="O187" s="8">
        <v>225</v>
      </c>
      <c r="P187" s="25">
        <v>41167</v>
      </c>
      <c r="Q187" s="8" t="str">
        <f t="shared" si="353"/>
        <v>2DA-SEP</v>
      </c>
      <c r="R187" s="26">
        <v>0.3</v>
      </c>
      <c r="S187" s="41" t="s">
        <v>34</v>
      </c>
      <c r="T187" s="8" t="s">
        <v>352</v>
      </c>
      <c r="U187" s="25"/>
      <c r="V187" s="7">
        <v>636443.4</v>
      </c>
      <c r="W187" s="7">
        <f t="shared" si="512"/>
        <v>0</v>
      </c>
      <c r="X187" s="7">
        <f t="shared" si="355"/>
        <v>636443.4</v>
      </c>
      <c r="Y187" s="7">
        <v>0</v>
      </c>
      <c r="Z187" s="7">
        <f t="shared" si="356"/>
        <v>0</v>
      </c>
      <c r="AA187" s="148" t="str">
        <f t="shared" si="357"/>
        <v>5%</v>
      </c>
      <c r="AB187" s="148">
        <f t="shared" si="358"/>
        <v>0.95</v>
      </c>
      <c r="AC187" s="25">
        <f ca="1">TODAY()-4</f>
        <v>41118</v>
      </c>
      <c r="AD187" s="25">
        <f t="shared" ref="AD187:AE187" ca="1" si="519">TODAY()-4</f>
        <v>41118</v>
      </c>
      <c r="AE187" s="25">
        <f t="shared" ca="1" si="519"/>
        <v>41118</v>
      </c>
      <c r="AF187" s="8"/>
      <c r="AG187" s="59" t="str">
        <f t="shared" ca="1" si="360"/>
        <v>NA</v>
      </c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59" t="str">
        <f t="shared" si="409"/>
        <v>NA</v>
      </c>
      <c r="AS187" s="59" t="str">
        <f t="shared" si="410"/>
        <v/>
      </c>
      <c r="AT187" s="59"/>
      <c r="AU187" s="59" t="str">
        <f t="shared" si="337"/>
        <v>ND</v>
      </c>
      <c r="AV187" s="66"/>
      <c r="AW187" s="66"/>
      <c r="AX187" s="66"/>
      <c r="AY187" s="66"/>
      <c r="AZ187" s="8"/>
      <c r="BA187" s="8" t="s">
        <v>37</v>
      </c>
      <c r="BB187" s="8"/>
      <c r="BC187" s="8"/>
      <c r="BD187" s="8"/>
      <c r="BE187" s="8"/>
      <c r="BF187" s="8"/>
      <c r="BG187" s="8"/>
      <c r="BH187" s="8"/>
      <c r="BI187" s="8"/>
      <c r="BJ187" s="8"/>
      <c r="BK187" s="59"/>
      <c r="BL187" s="59"/>
      <c r="BM187" s="59"/>
      <c r="BN187" s="164">
        <v>0.01</v>
      </c>
      <c r="BO187" s="165">
        <f t="shared" si="361"/>
        <v>4242.9560000000001</v>
      </c>
      <c r="BP187" s="165">
        <f t="shared" ref="BP187:BQ187" si="520">BO187</f>
        <v>4242.9560000000001</v>
      </c>
      <c r="BQ187" s="165">
        <f t="shared" si="520"/>
        <v>4242.9560000000001</v>
      </c>
      <c r="BR187" s="59"/>
      <c r="BS187" s="59"/>
      <c r="BT187" s="59"/>
      <c r="BU187" s="59"/>
      <c r="BV187" s="59" t="str">
        <f t="shared" si="402"/>
        <v>ND</v>
      </c>
      <c r="BW187" s="59" t="str">
        <f t="shared" si="403"/>
        <v>ND</v>
      </c>
      <c r="BX187" s="59" t="str">
        <f t="shared" si="404"/>
        <v>ND</v>
      </c>
      <c r="BY187" s="59" t="str">
        <f t="shared" si="405"/>
        <v>ND</v>
      </c>
      <c r="BZ187" s="59" t="str">
        <f t="shared" si="339"/>
        <v>NA</v>
      </c>
      <c r="CA187" s="59" t="str">
        <f t="shared" si="340"/>
        <v/>
      </c>
      <c r="CB187" s="59" t="str">
        <f t="shared" si="341"/>
        <v>NA</v>
      </c>
      <c r="CC187" s="59" t="str">
        <f t="shared" si="342"/>
        <v/>
      </c>
      <c r="CD187" s="59" t="str">
        <f t="shared" si="343"/>
        <v>NA</v>
      </c>
      <c r="CE187" s="59" t="str">
        <f t="shared" si="344"/>
        <v/>
      </c>
      <c r="CF187" s="59" t="str">
        <f t="shared" si="345"/>
        <v>NA</v>
      </c>
      <c r="CG187" s="59" t="str">
        <f t="shared" ca="1" si="346"/>
        <v>NA</v>
      </c>
      <c r="CH187" s="59" t="str">
        <f t="shared" ca="1" si="347"/>
        <v>NA</v>
      </c>
      <c r="CI187" s="59" t="str">
        <f t="shared" ca="1" si="348"/>
        <v>HASTA 5 DIAS</v>
      </c>
      <c r="CJ187" s="59" t="str">
        <f t="shared" ca="1" si="349"/>
        <v>HASTA 5 DIAS</v>
      </c>
      <c r="CK187" s="59" t="str">
        <f t="shared" ca="1" si="350"/>
        <v>HASTA 5 DIAS</v>
      </c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>
        <f t="shared" si="363"/>
        <v>0</v>
      </c>
      <c r="DH187" s="8">
        <f t="shared" si="364"/>
        <v>0</v>
      </c>
      <c r="DI187" s="8">
        <f t="shared" si="365"/>
        <v>0</v>
      </c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59" t="str">
        <f t="shared" si="366"/>
        <v>NA</v>
      </c>
      <c r="DU187" s="59" t="str">
        <f t="shared" si="367"/>
        <v>NA</v>
      </c>
      <c r="DV187" s="59" t="str">
        <f t="shared" si="368"/>
        <v>NA</v>
      </c>
      <c r="DW187" s="59" t="str">
        <f t="shared" si="369"/>
        <v>NA</v>
      </c>
      <c r="DX187" s="59" t="str">
        <f t="shared" si="370"/>
        <v>NA</v>
      </c>
      <c r="DY187" s="59" t="str">
        <f t="shared" si="371"/>
        <v>NA</v>
      </c>
      <c r="DZ187" s="59" t="str">
        <f t="shared" si="372"/>
        <v>NA</v>
      </c>
      <c r="EA187" s="59" t="str">
        <f t="shared" si="373"/>
        <v>NA</v>
      </c>
      <c r="EB187" s="59" t="str">
        <f t="shared" si="374"/>
        <v>NA</v>
      </c>
      <c r="EC187" s="59" t="str">
        <f t="shared" si="375"/>
        <v>NA</v>
      </c>
      <c r="ED187" s="59" t="str">
        <f t="shared" si="376"/>
        <v/>
      </c>
      <c r="EE187" s="59" t="str">
        <f t="shared" si="377"/>
        <v/>
      </c>
      <c r="EF187" s="59" t="str">
        <f t="shared" si="378"/>
        <v/>
      </c>
      <c r="EG187" s="59" t="str">
        <f t="shared" si="379"/>
        <v/>
      </c>
      <c r="EH187" s="59" t="str">
        <f t="shared" si="380"/>
        <v/>
      </c>
      <c r="EI187" s="59" t="str">
        <f t="shared" si="381"/>
        <v/>
      </c>
      <c r="EJ187" s="59" t="str">
        <f t="shared" si="382"/>
        <v/>
      </c>
      <c r="EK187" s="59" t="str">
        <f t="shared" si="383"/>
        <v/>
      </c>
      <c r="EL187" s="59" t="str">
        <f t="shared" si="384"/>
        <v/>
      </c>
      <c r="EM187" s="59" t="str">
        <f t="shared" si="385"/>
        <v/>
      </c>
      <c r="EN187" s="59" t="str">
        <f t="shared" si="386"/>
        <v/>
      </c>
      <c r="EO187" s="59" t="str">
        <f t="shared" si="387"/>
        <v/>
      </c>
      <c r="EP187" s="59" t="str">
        <f t="shared" si="388"/>
        <v/>
      </c>
      <c r="EQ187" s="59" t="str">
        <f t="shared" si="389"/>
        <v/>
      </c>
      <c r="ER187" s="59" t="str">
        <f t="shared" si="390"/>
        <v/>
      </c>
      <c r="ES187" s="59" t="str">
        <f t="shared" si="391"/>
        <v/>
      </c>
      <c r="ET187" s="59" t="str">
        <f t="shared" si="392"/>
        <v/>
      </c>
      <c r="EU187" s="59" t="str">
        <f t="shared" si="393"/>
        <v/>
      </c>
      <c r="EV187" s="59" t="str">
        <f t="shared" si="394"/>
        <v/>
      </c>
      <c r="EW187" s="59" t="str">
        <f t="shared" si="395"/>
        <v/>
      </c>
      <c r="EX187" s="56">
        <f t="shared" si="351"/>
        <v>1272886.8</v>
      </c>
    </row>
    <row r="188" spans="1:154" x14ac:dyDescent="0.25">
      <c r="A188" s="2">
        <f t="shared" si="396"/>
        <v>187</v>
      </c>
      <c r="B188" s="2" t="s">
        <v>6</v>
      </c>
      <c r="C188" s="2" t="str">
        <f t="shared" si="352"/>
        <v>030309</v>
      </c>
      <c r="D188" s="2">
        <v>3</v>
      </c>
      <c r="E188" s="2">
        <v>3</v>
      </c>
      <c r="F188" s="2">
        <v>9</v>
      </c>
      <c r="G188" s="11" t="s">
        <v>20</v>
      </c>
      <c r="H188" s="4"/>
      <c r="I188" s="42" t="s">
        <v>58</v>
      </c>
      <c r="J188" s="9">
        <v>80</v>
      </c>
      <c r="K188" s="5"/>
      <c r="L188" s="6" t="s">
        <v>306</v>
      </c>
      <c r="M188" s="22" t="s">
        <v>176</v>
      </c>
      <c r="N188" s="7">
        <f t="shared" si="397"/>
        <v>1126000</v>
      </c>
      <c r="O188" s="8">
        <v>226</v>
      </c>
      <c r="P188" s="25">
        <v>41167</v>
      </c>
      <c r="Q188" s="8" t="str">
        <f t="shared" si="353"/>
        <v>2DA-SEP</v>
      </c>
      <c r="R188" s="26">
        <v>0.3</v>
      </c>
      <c r="S188" s="41" t="s">
        <v>34</v>
      </c>
      <c r="T188" s="8" t="s">
        <v>352</v>
      </c>
      <c r="U188" s="25"/>
      <c r="V188" s="7">
        <v>563000</v>
      </c>
      <c r="W188" s="7">
        <f t="shared" si="512"/>
        <v>0</v>
      </c>
      <c r="X188" s="7">
        <f t="shared" si="355"/>
        <v>563000</v>
      </c>
      <c r="Y188" s="7">
        <v>0</v>
      </c>
      <c r="Z188" s="7">
        <f t="shared" si="356"/>
        <v>0</v>
      </c>
      <c r="AA188" s="148" t="str">
        <f t="shared" si="357"/>
        <v>5%</v>
      </c>
      <c r="AB188" s="148">
        <f t="shared" si="358"/>
        <v>0.95</v>
      </c>
      <c r="AC188" s="25">
        <f ca="1">TODAY()-9</f>
        <v>41113</v>
      </c>
      <c r="AD188" s="25">
        <f t="shared" ref="AD188:AE188" ca="1" si="521">TODAY()-9</f>
        <v>41113</v>
      </c>
      <c r="AE188" s="25">
        <f t="shared" ca="1" si="521"/>
        <v>41113</v>
      </c>
      <c r="AF188" s="8"/>
      <c r="AG188" s="59" t="str">
        <f t="shared" ca="1" si="360"/>
        <v>NA</v>
      </c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59" t="str">
        <f t="shared" si="409"/>
        <v>NA</v>
      </c>
      <c r="AS188" s="59" t="str">
        <f t="shared" si="410"/>
        <v/>
      </c>
      <c r="AT188" s="59"/>
      <c r="AU188" s="59" t="str">
        <f t="shared" si="337"/>
        <v>ND</v>
      </c>
      <c r="AV188" s="66"/>
      <c r="AW188" s="66"/>
      <c r="AX188" s="66"/>
      <c r="AY188" s="66"/>
      <c r="AZ188" s="8"/>
      <c r="BA188" s="8" t="s">
        <v>37</v>
      </c>
      <c r="BB188" s="8"/>
      <c r="BC188" s="8"/>
      <c r="BD188" s="8"/>
      <c r="BE188" s="8"/>
      <c r="BF188" s="8"/>
      <c r="BG188" s="8"/>
      <c r="BH188" s="8"/>
      <c r="BI188" s="8"/>
      <c r="BJ188" s="8"/>
      <c r="BK188" s="59"/>
      <c r="BL188" s="59"/>
      <c r="BM188" s="59"/>
      <c r="BN188" s="164">
        <v>0.01</v>
      </c>
      <c r="BO188" s="165">
        <f t="shared" si="361"/>
        <v>3753.3333333333335</v>
      </c>
      <c r="BP188" s="165">
        <f t="shared" ref="BP188:BQ188" si="522">BO188</f>
        <v>3753.3333333333335</v>
      </c>
      <c r="BQ188" s="165">
        <f t="shared" si="522"/>
        <v>3753.3333333333335</v>
      </c>
      <c r="BR188" s="59"/>
      <c r="BS188" s="59"/>
      <c r="BT188" s="59"/>
      <c r="BU188" s="59"/>
      <c r="BV188" s="59" t="str">
        <f t="shared" si="402"/>
        <v>ND</v>
      </c>
      <c r="BW188" s="59" t="str">
        <f t="shared" si="403"/>
        <v>ND</v>
      </c>
      <c r="BX188" s="59" t="str">
        <f t="shared" si="404"/>
        <v>ND</v>
      </c>
      <c r="BY188" s="59" t="str">
        <f t="shared" si="405"/>
        <v>ND</v>
      </c>
      <c r="BZ188" s="59" t="str">
        <f t="shared" si="339"/>
        <v>NA</v>
      </c>
      <c r="CA188" s="59" t="str">
        <f t="shared" si="340"/>
        <v/>
      </c>
      <c r="CB188" s="59" t="str">
        <f t="shared" si="341"/>
        <v>NA</v>
      </c>
      <c r="CC188" s="59" t="str">
        <f t="shared" si="342"/>
        <v/>
      </c>
      <c r="CD188" s="59" t="str">
        <f t="shared" si="343"/>
        <v>NA</v>
      </c>
      <c r="CE188" s="59" t="str">
        <f t="shared" si="344"/>
        <v/>
      </c>
      <c r="CF188" s="59" t="str">
        <f t="shared" si="345"/>
        <v>NA</v>
      </c>
      <c r="CG188" s="59" t="str">
        <f t="shared" ca="1" si="346"/>
        <v>NA</v>
      </c>
      <c r="CH188" s="59" t="str">
        <f t="shared" ca="1" si="347"/>
        <v>NA</v>
      </c>
      <c r="CI188" s="59" t="str">
        <f t="shared" ca="1" si="348"/>
        <v>DE 6 A 10 DIAS</v>
      </c>
      <c r="CJ188" s="59" t="str">
        <f t="shared" ca="1" si="349"/>
        <v>DE 6 A 10 DIAS</v>
      </c>
      <c r="CK188" s="59" t="str">
        <f t="shared" ca="1" si="350"/>
        <v>DE 6 A 10 DIAS</v>
      </c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>
        <f t="shared" si="363"/>
        <v>0</v>
      </c>
      <c r="DH188" s="8">
        <f t="shared" si="364"/>
        <v>0</v>
      </c>
      <c r="DI188" s="8">
        <f t="shared" si="365"/>
        <v>0</v>
      </c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59" t="str">
        <f t="shared" si="366"/>
        <v>NA</v>
      </c>
      <c r="DU188" s="59" t="str">
        <f t="shared" si="367"/>
        <v>NA</v>
      </c>
      <c r="DV188" s="59" t="str">
        <f t="shared" si="368"/>
        <v>NA</v>
      </c>
      <c r="DW188" s="59" t="str">
        <f t="shared" si="369"/>
        <v>NA</v>
      </c>
      <c r="DX188" s="59" t="str">
        <f t="shared" si="370"/>
        <v>NA</v>
      </c>
      <c r="DY188" s="59" t="str">
        <f t="shared" si="371"/>
        <v>NA</v>
      </c>
      <c r="DZ188" s="59" t="str">
        <f t="shared" si="372"/>
        <v>NA</v>
      </c>
      <c r="EA188" s="59" t="str">
        <f t="shared" si="373"/>
        <v>NA</v>
      </c>
      <c r="EB188" s="59" t="str">
        <f t="shared" si="374"/>
        <v>NA</v>
      </c>
      <c r="EC188" s="59" t="str">
        <f t="shared" si="375"/>
        <v>NA</v>
      </c>
      <c r="ED188" s="59" t="str">
        <f t="shared" si="376"/>
        <v/>
      </c>
      <c r="EE188" s="59" t="str">
        <f t="shared" si="377"/>
        <v/>
      </c>
      <c r="EF188" s="59" t="str">
        <f t="shared" si="378"/>
        <v/>
      </c>
      <c r="EG188" s="59" t="str">
        <f t="shared" si="379"/>
        <v/>
      </c>
      <c r="EH188" s="59" t="str">
        <f t="shared" si="380"/>
        <v/>
      </c>
      <c r="EI188" s="59" t="str">
        <f t="shared" si="381"/>
        <v/>
      </c>
      <c r="EJ188" s="59" t="str">
        <f t="shared" si="382"/>
        <v/>
      </c>
      <c r="EK188" s="59" t="str">
        <f t="shared" si="383"/>
        <v/>
      </c>
      <c r="EL188" s="59" t="str">
        <f t="shared" si="384"/>
        <v/>
      </c>
      <c r="EM188" s="59" t="str">
        <f t="shared" si="385"/>
        <v/>
      </c>
      <c r="EN188" s="59" t="str">
        <f t="shared" si="386"/>
        <v/>
      </c>
      <c r="EO188" s="59" t="str">
        <f t="shared" si="387"/>
        <v/>
      </c>
      <c r="EP188" s="59" t="str">
        <f t="shared" si="388"/>
        <v/>
      </c>
      <c r="EQ188" s="59" t="str">
        <f t="shared" si="389"/>
        <v/>
      </c>
      <c r="ER188" s="59" t="str">
        <f t="shared" si="390"/>
        <v/>
      </c>
      <c r="ES188" s="59" t="str">
        <f t="shared" si="391"/>
        <v/>
      </c>
      <c r="ET188" s="59" t="str">
        <f t="shared" si="392"/>
        <v/>
      </c>
      <c r="EU188" s="59" t="str">
        <f t="shared" si="393"/>
        <v/>
      </c>
      <c r="EV188" s="59" t="str">
        <f t="shared" si="394"/>
        <v/>
      </c>
      <c r="EW188" s="59" t="str">
        <f t="shared" si="395"/>
        <v/>
      </c>
      <c r="EX188" s="56">
        <f t="shared" si="351"/>
        <v>1126000</v>
      </c>
    </row>
    <row r="189" spans="1:154" x14ac:dyDescent="0.25">
      <c r="A189" s="2">
        <f t="shared" si="396"/>
        <v>188</v>
      </c>
      <c r="B189" s="2" t="s">
        <v>6</v>
      </c>
      <c r="C189" s="2" t="str">
        <f t="shared" si="352"/>
        <v>030310</v>
      </c>
      <c r="D189" s="2">
        <v>3</v>
      </c>
      <c r="E189" s="2">
        <v>3</v>
      </c>
      <c r="F189" s="2">
        <v>10</v>
      </c>
      <c r="G189" s="11" t="s">
        <v>20</v>
      </c>
      <c r="H189" s="4"/>
      <c r="I189" s="42" t="s">
        <v>58</v>
      </c>
      <c r="J189" s="9">
        <v>80</v>
      </c>
      <c r="K189" s="5"/>
      <c r="L189" s="6" t="s">
        <v>306</v>
      </c>
      <c r="M189" s="22" t="s">
        <v>176</v>
      </c>
      <c r="N189" s="7">
        <f t="shared" si="397"/>
        <v>1126000</v>
      </c>
      <c r="O189" s="8">
        <v>227</v>
      </c>
      <c r="P189" s="25">
        <v>41167</v>
      </c>
      <c r="Q189" s="8" t="str">
        <f t="shared" si="353"/>
        <v>2DA-SEP</v>
      </c>
      <c r="R189" s="26">
        <v>0.3</v>
      </c>
      <c r="S189" s="41" t="s">
        <v>34</v>
      </c>
      <c r="T189" s="8" t="s">
        <v>352</v>
      </c>
      <c r="U189" s="25"/>
      <c r="V189" s="7">
        <v>563000</v>
      </c>
      <c r="W189" s="7">
        <f t="shared" si="512"/>
        <v>0</v>
      </c>
      <c r="X189" s="7">
        <f t="shared" si="355"/>
        <v>563000</v>
      </c>
      <c r="Y189" s="7">
        <v>0</v>
      </c>
      <c r="Z189" s="7">
        <f t="shared" si="356"/>
        <v>0</v>
      </c>
      <c r="AA189" s="148" t="str">
        <f t="shared" si="357"/>
        <v>5%</v>
      </c>
      <c r="AB189" s="148">
        <f t="shared" si="358"/>
        <v>0.95</v>
      </c>
      <c r="AC189" s="25">
        <f ca="1">TODAY()-14</f>
        <v>41108</v>
      </c>
      <c r="AD189" s="25">
        <f t="shared" ref="AD189:AE189" ca="1" si="523">TODAY()-14</f>
        <v>41108</v>
      </c>
      <c r="AE189" s="25">
        <f t="shared" ca="1" si="523"/>
        <v>41108</v>
      </c>
      <c r="AF189" s="8"/>
      <c r="AG189" s="59" t="str">
        <f t="shared" ca="1" si="360"/>
        <v>NA</v>
      </c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59" t="str">
        <f t="shared" si="409"/>
        <v>NA</v>
      </c>
      <c r="AS189" s="59" t="str">
        <f t="shared" si="410"/>
        <v/>
      </c>
      <c r="AT189" s="59"/>
      <c r="AU189" s="59" t="str">
        <f t="shared" si="337"/>
        <v>ND</v>
      </c>
      <c r="AV189" s="66"/>
      <c r="AW189" s="66"/>
      <c r="AX189" s="66"/>
      <c r="AY189" s="66"/>
      <c r="AZ189" s="8"/>
      <c r="BA189" s="8" t="s">
        <v>37</v>
      </c>
      <c r="BB189" s="8"/>
      <c r="BC189" s="8"/>
      <c r="BD189" s="8"/>
      <c r="BE189" s="8"/>
      <c r="BF189" s="8"/>
      <c r="BG189" s="8"/>
      <c r="BH189" s="8"/>
      <c r="BI189" s="8"/>
      <c r="BJ189" s="8"/>
      <c r="BK189" s="59"/>
      <c r="BL189" s="59"/>
      <c r="BM189" s="59"/>
      <c r="BN189" s="164">
        <v>0.01</v>
      </c>
      <c r="BO189" s="165">
        <f t="shared" si="361"/>
        <v>3753.3333333333335</v>
      </c>
      <c r="BP189" s="165">
        <f t="shared" ref="BP189:BQ189" si="524">BO189</f>
        <v>3753.3333333333335</v>
      </c>
      <c r="BQ189" s="165">
        <f t="shared" si="524"/>
        <v>3753.3333333333335</v>
      </c>
      <c r="BR189" s="59"/>
      <c r="BS189" s="59"/>
      <c r="BT189" s="59"/>
      <c r="BU189" s="59"/>
      <c r="BV189" s="59" t="str">
        <f t="shared" si="402"/>
        <v>ND</v>
      </c>
      <c r="BW189" s="59" t="str">
        <f t="shared" si="403"/>
        <v>ND</v>
      </c>
      <c r="BX189" s="59" t="str">
        <f t="shared" si="404"/>
        <v>ND</v>
      </c>
      <c r="BY189" s="59" t="str">
        <f t="shared" si="405"/>
        <v>ND</v>
      </c>
      <c r="BZ189" s="59" t="str">
        <f t="shared" si="339"/>
        <v>NA</v>
      </c>
      <c r="CA189" s="59" t="str">
        <f t="shared" si="340"/>
        <v/>
      </c>
      <c r="CB189" s="59" t="str">
        <f t="shared" si="341"/>
        <v>NA</v>
      </c>
      <c r="CC189" s="59" t="str">
        <f t="shared" si="342"/>
        <v/>
      </c>
      <c r="CD189" s="59" t="str">
        <f t="shared" si="343"/>
        <v>NA</v>
      </c>
      <c r="CE189" s="59" t="str">
        <f t="shared" si="344"/>
        <v/>
      </c>
      <c r="CF189" s="59" t="str">
        <f t="shared" si="345"/>
        <v>NA</v>
      </c>
      <c r="CG189" s="59" t="str">
        <f t="shared" ca="1" si="346"/>
        <v>NA</v>
      </c>
      <c r="CH189" s="59" t="str">
        <f t="shared" ca="1" si="347"/>
        <v>NA</v>
      </c>
      <c r="CI189" s="59" t="str">
        <f t="shared" ca="1" si="348"/>
        <v>DE 11 A 15 DIAS</v>
      </c>
      <c r="CJ189" s="59" t="str">
        <f t="shared" ca="1" si="349"/>
        <v>DE 11 A 15 DIAS</v>
      </c>
      <c r="CK189" s="59" t="str">
        <f t="shared" ca="1" si="350"/>
        <v>DE 11 A 15 DIAS</v>
      </c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>
        <f t="shared" si="363"/>
        <v>0</v>
      </c>
      <c r="DH189" s="8">
        <f t="shared" si="364"/>
        <v>0</v>
      </c>
      <c r="DI189" s="8">
        <f t="shared" si="365"/>
        <v>0</v>
      </c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59" t="str">
        <f t="shared" si="366"/>
        <v>NA</v>
      </c>
      <c r="DU189" s="59" t="str">
        <f t="shared" si="367"/>
        <v>NA</v>
      </c>
      <c r="DV189" s="59" t="str">
        <f t="shared" si="368"/>
        <v>NA</v>
      </c>
      <c r="DW189" s="59" t="str">
        <f t="shared" si="369"/>
        <v>NA</v>
      </c>
      <c r="DX189" s="59" t="str">
        <f t="shared" si="370"/>
        <v>NA</v>
      </c>
      <c r="DY189" s="59" t="str">
        <f t="shared" si="371"/>
        <v>NA</v>
      </c>
      <c r="DZ189" s="59" t="str">
        <f t="shared" si="372"/>
        <v>NA</v>
      </c>
      <c r="EA189" s="59" t="str">
        <f t="shared" si="373"/>
        <v>NA</v>
      </c>
      <c r="EB189" s="59" t="str">
        <f t="shared" si="374"/>
        <v>NA</v>
      </c>
      <c r="EC189" s="59" t="str">
        <f t="shared" si="375"/>
        <v>NA</v>
      </c>
      <c r="ED189" s="59" t="str">
        <f t="shared" si="376"/>
        <v/>
      </c>
      <c r="EE189" s="59" t="str">
        <f t="shared" si="377"/>
        <v/>
      </c>
      <c r="EF189" s="59" t="str">
        <f t="shared" si="378"/>
        <v/>
      </c>
      <c r="EG189" s="59" t="str">
        <f t="shared" si="379"/>
        <v/>
      </c>
      <c r="EH189" s="59" t="str">
        <f t="shared" si="380"/>
        <v/>
      </c>
      <c r="EI189" s="59" t="str">
        <f t="shared" si="381"/>
        <v/>
      </c>
      <c r="EJ189" s="59" t="str">
        <f t="shared" si="382"/>
        <v/>
      </c>
      <c r="EK189" s="59" t="str">
        <f t="shared" si="383"/>
        <v/>
      </c>
      <c r="EL189" s="59" t="str">
        <f t="shared" si="384"/>
        <v/>
      </c>
      <c r="EM189" s="59" t="str">
        <f t="shared" si="385"/>
        <v/>
      </c>
      <c r="EN189" s="59" t="str">
        <f t="shared" si="386"/>
        <v/>
      </c>
      <c r="EO189" s="59" t="str">
        <f t="shared" si="387"/>
        <v/>
      </c>
      <c r="EP189" s="59" t="str">
        <f t="shared" si="388"/>
        <v/>
      </c>
      <c r="EQ189" s="59" t="str">
        <f t="shared" si="389"/>
        <v/>
      </c>
      <c r="ER189" s="59" t="str">
        <f t="shared" si="390"/>
        <v/>
      </c>
      <c r="ES189" s="59" t="str">
        <f t="shared" si="391"/>
        <v/>
      </c>
      <c r="ET189" s="59" t="str">
        <f t="shared" si="392"/>
        <v/>
      </c>
      <c r="EU189" s="59" t="str">
        <f t="shared" si="393"/>
        <v/>
      </c>
      <c r="EV189" s="59" t="str">
        <f t="shared" si="394"/>
        <v/>
      </c>
      <c r="EW189" s="59" t="str">
        <f t="shared" si="395"/>
        <v/>
      </c>
      <c r="EX189" s="56">
        <f t="shared" si="351"/>
        <v>1126000</v>
      </c>
    </row>
    <row r="190" spans="1:154" x14ac:dyDescent="0.25">
      <c r="A190" s="2">
        <f t="shared" si="396"/>
        <v>189</v>
      </c>
      <c r="B190" s="2" t="s">
        <v>6</v>
      </c>
      <c r="C190" s="2" t="str">
        <f t="shared" si="352"/>
        <v>030311</v>
      </c>
      <c r="D190" s="2">
        <v>3</v>
      </c>
      <c r="E190" s="2">
        <v>3</v>
      </c>
      <c r="F190" s="2">
        <v>11</v>
      </c>
      <c r="G190" s="11" t="s">
        <v>20</v>
      </c>
      <c r="H190" s="4"/>
      <c r="I190" s="42" t="s">
        <v>58</v>
      </c>
      <c r="J190" s="9">
        <v>80</v>
      </c>
      <c r="K190" s="9"/>
      <c r="L190" s="10" t="s">
        <v>8</v>
      </c>
      <c r="M190" s="22" t="s">
        <v>176</v>
      </c>
      <c r="N190" s="7">
        <f t="shared" si="397"/>
        <v>1135000</v>
      </c>
      <c r="O190" s="8">
        <v>228</v>
      </c>
      <c r="P190" s="25">
        <v>41167</v>
      </c>
      <c r="Q190" s="8" t="str">
        <f t="shared" si="353"/>
        <v>2DA-SEP</v>
      </c>
      <c r="R190" s="26">
        <v>0.3</v>
      </c>
      <c r="S190" s="41" t="s">
        <v>34</v>
      </c>
      <c r="T190" s="8" t="s">
        <v>352</v>
      </c>
      <c r="U190" s="25"/>
      <c r="V190" s="7">
        <v>567500</v>
      </c>
      <c r="W190" s="7">
        <f t="shared" si="512"/>
        <v>0</v>
      </c>
      <c r="X190" s="7">
        <f t="shared" si="355"/>
        <v>567500</v>
      </c>
      <c r="Y190" s="7">
        <v>0</v>
      </c>
      <c r="Z190" s="7">
        <f t="shared" si="356"/>
        <v>0</v>
      </c>
      <c r="AA190" s="148" t="str">
        <f t="shared" si="357"/>
        <v>5%</v>
      </c>
      <c r="AB190" s="148">
        <f t="shared" si="358"/>
        <v>0.95</v>
      </c>
      <c r="AC190" s="25">
        <f ca="1">TODAY()-19</f>
        <v>41103</v>
      </c>
      <c r="AD190" s="25">
        <f t="shared" ref="AD190:AE190" ca="1" si="525">TODAY()-19</f>
        <v>41103</v>
      </c>
      <c r="AE190" s="25">
        <f t="shared" ca="1" si="525"/>
        <v>41103</v>
      </c>
      <c r="AF190" s="8"/>
      <c r="AG190" s="59" t="str">
        <f t="shared" ca="1" si="360"/>
        <v>NA</v>
      </c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59" t="str">
        <f t="shared" si="409"/>
        <v>NA</v>
      </c>
      <c r="AS190" s="59" t="str">
        <f t="shared" si="410"/>
        <v/>
      </c>
      <c r="AT190" s="59"/>
      <c r="AU190" s="59" t="str">
        <f t="shared" si="337"/>
        <v>ND</v>
      </c>
      <c r="AV190" s="66"/>
      <c r="AW190" s="66"/>
      <c r="AX190" s="66"/>
      <c r="AY190" s="66"/>
      <c r="AZ190" s="8"/>
      <c r="BA190" s="8" t="s">
        <v>37</v>
      </c>
      <c r="BB190" s="8"/>
      <c r="BC190" s="8"/>
      <c r="BD190" s="8"/>
      <c r="BE190" s="8"/>
      <c r="BF190" s="8"/>
      <c r="BG190" s="8"/>
      <c r="BH190" s="8"/>
      <c r="BI190" s="8"/>
      <c r="BJ190" s="8"/>
      <c r="BK190" s="59"/>
      <c r="BL190" s="59"/>
      <c r="BM190" s="59"/>
      <c r="BN190" s="164">
        <v>0.01</v>
      </c>
      <c r="BO190" s="165">
        <f t="shared" si="361"/>
        <v>3783.3333333333335</v>
      </c>
      <c r="BP190" s="165">
        <f t="shared" ref="BP190:BQ190" si="526">BO190</f>
        <v>3783.3333333333335</v>
      </c>
      <c r="BQ190" s="165">
        <f t="shared" si="526"/>
        <v>3783.3333333333335</v>
      </c>
      <c r="BR190" s="59"/>
      <c r="BS190" s="59"/>
      <c r="BT190" s="59"/>
      <c r="BU190" s="59"/>
      <c r="BV190" s="59" t="str">
        <f t="shared" si="402"/>
        <v>ND</v>
      </c>
      <c r="BW190" s="59" t="str">
        <f t="shared" si="403"/>
        <v>ND</v>
      </c>
      <c r="BX190" s="59" t="str">
        <f t="shared" si="404"/>
        <v>ND</v>
      </c>
      <c r="BY190" s="59" t="str">
        <f t="shared" si="405"/>
        <v>ND</v>
      </c>
      <c r="BZ190" s="59" t="str">
        <f t="shared" si="339"/>
        <v>NA</v>
      </c>
      <c r="CA190" s="59" t="str">
        <f t="shared" si="340"/>
        <v/>
      </c>
      <c r="CB190" s="59" t="str">
        <f t="shared" si="341"/>
        <v>NA</v>
      </c>
      <c r="CC190" s="59" t="str">
        <f t="shared" si="342"/>
        <v/>
      </c>
      <c r="CD190" s="59" t="str">
        <f t="shared" si="343"/>
        <v>NA</v>
      </c>
      <c r="CE190" s="59" t="str">
        <f t="shared" si="344"/>
        <v/>
      </c>
      <c r="CF190" s="59" t="str">
        <f t="shared" si="345"/>
        <v>NA</v>
      </c>
      <c r="CG190" s="59" t="str">
        <f t="shared" ca="1" si="346"/>
        <v>NA</v>
      </c>
      <c r="CH190" s="59" t="str">
        <f t="shared" ca="1" si="347"/>
        <v>NA</v>
      </c>
      <c r="CI190" s="59" t="str">
        <f t="shared" ca="1" si="348"/>
        <v>DE 16 A 20 DIAS</v>
      </c>
      <c r="CJ190" s="59" t="str">
        <f t="shared" ca="1" si="349"/>
        <v>DE 16 A 20 DIAS</v>
      </c>
      <c r="CK190" s="59" t="str">
        <f t="shared" ca="1" si="350"/>
        <v>DE 16 A 20 DIAS</v>
      </c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>
        <f t="shared" si="363"/>
        <v>0</v>
      </c>
      <c r="DH190" s="8">
        <f t="shared" si="364"/>
        <v>0</v>
      </c>
      <c r="DI190" s="8">
        <f t="shared" si="365"/>
        <v>0</v>
      </c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59" t="str">
        <f t="shared" si="366"/>
        <v>NA</v>
      </c>
      <c r="DU190" s="59" t="str">
        <f t="shared" si="367"/>
        <v>NA</v>
      </c>
      <c r="DV190" s="59" t="str">
        <f t="shared" si="368"/>
        <v>NA</v>
      </c>
      <c r="DW190" s="59" t="str">
        <f t="shared" si="369"/>
        <v>NA</v>
      </c>
      <c r="DX190" s="59" t="str">
        <f t="shared" si="370"/>
        <v>NA</v>
      </c>
      <c r="DY190" s="59" t="str">
        <f t="shared" si="371"/>
        <v>NA</v>
      </c>
      <c r="DZ190" s="59" t="str">
        <f t="shared" si="372"/>
        <v>NA</v>
      </c>
      <c r="EA190" s="59" t="str">
        <f t="shared" si="373"/>
        <v>NA</v>
      </c>
      <c r="EB190" s="59" t="str">
        <f t="shared" si="374"/>
        <v>NA</v>
      </c>
      <c r="EC190" s="59" t="str">
        <f t="shared" si="375"/>
        <v>NA</v>
      </c>
      <c r="ED190" s="59" t="str">
        <f t="shared" si="376"/>
        <v/>
      </c>
      <c r="EE190" s="59" t="str">
        <f t="shared" si="377"/>
        <v/>
      </c>
      <c r="EF190" s="59" t="str">
        <f t="shared" si="378"/>
        <v/>
      </c>
      <c r="EG190" s="59" t="str">
        <f t="shared" si="379"/>
        <v/>
      </c>
      <c r="EH190" s="59" t="str">
        <f t="shared" si="380"/>
        <v/>
      </c>
      <c r="EI190" s="59" t="str">
        <f t="shared" si="381"/>
        <v/>
      </c>
      <c r="EJ190" s="59" t="str">
        <f t="shared" si="382"/>
        <v/>
      </c>
      <c r="EK190" s="59" t="str">
        <f t="shared" si="383"/>
        <v/>
      </c>
      <c r="EL190" s="59" t="str">
        <f t="shared" si="384"/>
        <v/>
      </c>
      <c r="EM190" s="59" t="str">
        <f t="shared" si="385"/>
        <v/>
      </c>
      <c r="EN190" s="59" t="str">
        <f t="shared" si="386"/>
        <v/>
      </c>
      <c r="EO190" s="59" t="str">
        <f t="shared" si="387"/>
        <v/>
      </c>
      <c r="EP190" s="59" t="str">
        <f t="shared" si="388"/>
        <v/>
      </c>
      <c r="EQ190" s="59" t="str">
        <f t="shared" si="389"/>
        <v/>
      </c>
      <c r="ER190" s="59" t="str">
        <f t="shared" si="390"/>
        <v/>
      </c>
      <c r="ES190" s="59" t="str">
        <f t="shared" si="391"/>
        <v/>
      </c>
      <c r="ET190" s="59" t="str">
        <f t="shared" si="392"/>
        <v/>
      </c>
      <c r="EU190" s="59" t="str">
        <f t="shared" si="393"/>
        <v/>
      </c>
      <c r="EV190" s="59" t="str">
        <f t="shared" si="394"/>
        <v/>
      </c>
      <c r="EW190" s="59" t="str">
        <f t="shared" si="395"/>
        <v/>
      </c>
      <c r="EX190" s="56">
        <f t="shared" si="351"/>
        <v>1135000</v>
      </c>
    </row>
    <row r="191" spans="1:154" x14ac:dyDescent="0.25">
      <c r="A191" s="2">
        <f t="shared" si="396"/>
        <v>190</v>
      </c>
      <c r="B191" s="2" t="s">
        <v>6</v>
      </c>
      <c r="C191" s="2" t="str">
        <f t="shared" si="352"/>
        <v>030312</v>
      </c>
      <c r="D191" s="2">
        <v>3</v>
      </c>
      <c r="E191" s="2">
        <v>3</v>
      </c>
      <c r="F191" s="2">
        <v>12</v>
      </c>
      <c r="G191" s="11" t="s">
        <v>20</v>
      </c>
      <c r="H191" s="4"/>
      <c r="I191" s="42" t="s">
        <v>58</v>
      </c>
      <c r="J191" s="9">
        <v>80</v>
      </c>
      <c r="K191" s="5"/>
      <c r="L191" s="6" t="s">
        <v>306</v>
      </c>
      <c r="M191" s="22" t="s">
        <v>176</v>
      </c>
      <c r="N191" s="7">
        <f t="shared" si="397"/>
        <v>1126000</v>
      </c>
      <c r="O191" s="8">
        <v>229</v>
      </c>
      <c r="P191" s="25">
        <v>41167</v>
      </c>
      <c r="Q191" s="8" t="str">
        <f t="shared" si="353"/>
        <v>2DA-SEP</v>
      </c>
      <c r="R191" s="26">
        <v>0.3</v>
      </c>
      <c r="S191" s="41" t="s">
        <v>34</v>
      </c>
      <c r="T191" s="8" t="s">
        <v>352</v>
      </c>
      <c r="U191" s="25"/>
      <c r="V191" s="7">
        <v>563000</v>
      </c>
      <c r="W191" s="7">
        <f t="shared" si="512"/>
        <v>0</v>
      </c>
      <c r="X191" s="7">
        <f t="shared" si="355"/>
        <v>563000</v>
      </c>
      <c r="Y191" s="7">
        <v>0</v>
      </c>
      <c r="Z191" s="7">
        <f t="shared" si="356"/>
        <v>0</v>
      </c>
      <c r="AA191" s="148" t="str">
        <f t="shared" si="357"/>
        <v>5%</v>
      </c>
      <c r="AB191" s="148">
        <f t="shared" si="358"/>
        <v>0.95</v>
      </c>
      <c r="AC191" s="25">
        <f ca="1">TODAY()-25</f>
        <v>41097</v>
      </c>
      <c r="AD191" s="25">
        <f t="shared" ref="AD191:AE191" ca="1" si="527">TODAY()-25</f>
        <v>41097</v>
      </c>
      <c r="AE191" s="25">
        <f t="shared" ca="1" si="527"/>
        <v>41097</v>
      </c>
      <c r="AF191" s="8"/>
      <c r="AG191" s="59" t="str">
        <f t="shared" ca="1" si="360"/>
        <v>NA</v>
      </c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59" t="str">
        <f t="shared" si="409"/>
        <v>NA</v>
      </c>
      <c r="AS191" s="59" t="str">
        <f t="shared" si="410"/>
        <v/>
      </c>
      <c r="AT191" s="59"/>
      <c r="AU191" s="59" t="str">
        <f t="shared" si="337"/>
        <v>ND</v>
      </c>
      <c r="AV191" s="66"/>
      <c r="AW191" s="66"/>
      <c r="AX191" s="66"/>
      <c r="AY191" s="66"/>
      <c r="AZ191" s="8"/>
      <c r="BA191" s="8" t="s">
        <v>37</v>
      </c>
      <c r="BB191" s="8"/>
      <c r="BC191" s="8"/>
      <c r="BD191" s="8"/>
      <c r="BE191" s="8"/>
      <c r="BF191" s="8"/>
      <c r="BG191" s="8"/>
      <c r="BH191" s="8"/>
      <c r="BI191" s="8"/>
      <c r="BJ191" s="8"/>
      <c r="BK191" s="59"/>
      <c r="BL191" s="59"/>
      <c r="BM191" s="59"/>
      <c r="BN191" s="164">
        <v>0.01</v>
      </c>
      <c r="BO191" s="165">
        <f t="shared" si="361"/>
        <v>3753.3333333333335</v>
      </c>
      <c r="BP191" s="165">
        <f t="shared" ref="BP191:BQ191" si="528">BO191</f>
        <v>3753.3333333333335</v>
      </c>
      <c r="BQ191" s="165">
        <f t="shared" si="528"/>
        <v>3753.3333333333335</v>
      </c>
      <c r="BR191" s="59"/>
      <c r="BS191" s="59"/>
      <c r="BT191" s="59"/>
      <c r="BU191" s="59"/>
      <c r="BV191" s="59" t="str">
        <f t="shared" si="402"/>
        <v>ND</v>
      </c>
      <c r="BW191" s="59" t="str">
        <f t="shared" si="403"/>
        <v>ND</v>
      </c>
      <c r="BX191" s="59" t="str">
        <f t="shared" si="404"/>
        <v>ND</v>
      </c>
      <c r="BY191" s="59" t="str">
        <f t="shared" si="405"/>
        <v>ND</v>
      </c>
      <c r="BZ191" s="59" t="str">
        <f t="shared" si="339"/>
        <v>NA</v>
      </c>
      <c r="CA191" s="59" t="str">
        <f t="shared" si="340"/>
        <v/>
      </c>
      <c r="CB191" s="59" t="str">
        <f t="shared" si="341"/>
        <v>NA</v>
      </c>
      <c r="CC191" s="59" t="str">
        <f t="shared" si="342"/>
        <v/>
      </c>
      <c r="CD191" s="59" t="str">
        <f t="shared" si="343"/>
        <v>NA</v>
      </c>
      <c r="CE191" s="59" t="str">
        <f t="shared" si="344"/>
        <v/>
      </c>
      <c r="CF191" s="59" t="str">
        <f t="shared" si="345"/>
        <v>NA</v>
      </c>
      <c r="CG191" s="59" t="str">
        <f t="shared" ca="1" si="346"/>
        <v>NA</v>
      </c>
      <c r="CH191" s="59" t="str">
        <f t="shared" ca="1" si="347"/>
        <v>NA</v>
      </c>
      <c r="CI191" s="59" t="str">
        <f t="shared" ca="1" si="348"/>
        <v>DE 21 A 25 DIAS</v>
      </c>
      <c r="CJ191" s="59" t="str">
        <f t="shared" ca="1" si="349"/>
        <v>DE 21 A 25 DIAS</v>
      </c>
      <c r="CK191" s="59" t="str">
        <f t="shared" ca="1" si="350"/>
        <v>DE 21 A 25 DIAS</v>
      </c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>
        <f t="shared" si="363"/>
        <v>0</v>
      </c>
      <c r="DH191" s="8">
        <f t="shared" si="364"/>
        <v>0</v>
      </c>
      <c r="DI191" s="8">
        <f t="shared" si="365"/>
        <v>0</v>
      </c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59" t="str">
        <f t="shared" si="366"/>
        <v>NA</v>
      </c>
      <c r="DU191" s="59" t="str">
        <f t="shared" si="367"/>
        <v>NA</v>
      </c>
      <c r="DV191" s="59" t="str">
        <f t="shared" si="368"/>
        <v>NA</v>
      </c>
      <c r="DW191" s="59" t="str">
        <f t="shared" si="369"/>
        <v>NA</v>
      </c>
      <c r="DX191" s="59" t="str">
        <f t="shared" si="370"/>
        <v>NA</v>
      </c>
      <c r="DY191" s="59" t="str">
        <f t="shared" si="371"/>
        <v>NA</v>
      </c>
      <c r="DZ191" s="59" t="str">
        <f t="shared" si="372"/>
        <v>NA</v>
      </c>
      <c r="EA191" s="59" t="str">
        <f t="shared" si="373"/>
        <v>NA</v>
      </c>
      <c r="EB191" s="59" t="str">
        <f t="shared" si="374"/>
        <v>NA</v>
      </c>
      <c r="EC191" s="59" t="str">
        <f t="shared" si="375"/>
        <v>NA</v>
      </c>
      <c r="ED191" s="59" t="str">
        <f t="shared" si="376"/>
        <v/>
      </c>
      <c r="EE191" s="59" t="str">
        <f t="shared" si="377"/>
        <v/>
      </c>
      <c r="EF191" s="59" t="str">
        <f t="shared" si="378"/>
        <v/>
      </c>
      <c r="EG191" s="59" t="str">
        <f t="shared" si="379"/>
        <v/>
      </c>
      <c r="EH191" s="59" t="str">
        <f t="shared" si="380"/>
        <v/>
      </c>
      <c r="EI191" s="59" t="str">
        <f t="shared" si="381"/>
        <v/>
      </c>
      <c r="EJ191" s="59" t="str">
        <f t="shared" si="382"/>
        <v/>
      </c>
      <c r="EK191" s="59" t="str">
        <f t="shared" si="383"/>
        <v/>
      </c>
      <c r="EL191" s="59" t="str">
        <f t="shared" si="384"/>
        <v/>
      </c>
      <c r="EM191" s="59" t="str">
        <f t="shared" si="385"/>
        <v/>
      </c>
      <c r="EN191" s="59" t="str">
        <f t="shared" si="386"/>
        <v/>
      </c>
      <c r="EO191" s="59" t="str">
        <f t="shared" si="387"/>
        <v/>
      </c>
      <c r="EP191" s="59" t="str">
        <f t="shared" si="388"/>
        <v/>
      </c>
      <c r="EQ191" s="59" t="str">
        <f t="shared" si="389"/>
        <v/>
      </c>
      <c r="ER191" s="59" t="str">
        <f t="shared" si="390"/>
        <v/>
      </c>
      <c r="ES191" s="59" t="str">
        <f t="shared" si="391"/>
        <v/>
      </c>
      <c r="ET191" s="59" t="str">
        <f t="shared" si="392"/>
        <v/>
      </c>
      <c r="EU191" s="59" t="str">
        <f t="shared" si="393"/>
        <v/>
      </c>
      <c r="EV191" s="59" t="str">
        <f t="shared" si="394"/>
        <v/>
      </c>
      <c r="EW191" s="59" t="str">
        <f t="shared" si="395"/>
        <v/>
      </c>
      <c r="EX191" s="56">
        <f t="shared" si="351"/>
        <v>1126000</v>
      </c>
    </row>
    <row r="192" spans="1:154" x14ac:dyDescent="0.25">
      <c r="A192" s="2">
        <f t="shared" si="396"/>
        <v>191</v>
      </c>
      <c r="B192" s="2" t="s">
        <v>6</v>
      </c>
      <c r="C192" s="2" t="str">
        <f t="shared" si="352"/>
        <v>030313</v>
      </c>
      <c r="D192" s="2">
        <v>3</v>
      </c>
      <c r="E192" s="2">
        <v>3</v>
      </c>
      <c r="F192" s="2">
        <v>13</v>
      </c>
      <c r="G192" s="11" t="s">
        <v>20</v>
      </c>
      <c r="H192" s="4"/>
      <c r="I192" s="42" t="s">
        <v>58</v>
      </c>
      <c r="J192" s="9">
        <v>80</v>
      </c>
      <c r="K192" s="5"/>
      <c r="L192" s="6" t="s">
        <v>306</v>
      </c>
      <c r="M192" s="22" t="s">
        <v>176</v>
      </c>
      <c r="N192" s="7">
        <f t="shared" si="397"/>
        <v>1126000</v>
      </c>
      <c r="O192" s="8">
        <v>230</v>
      </c>
      <c r="P192" s="25">
        <v>41167</v>
      </c>
      <c r="Q192" s="8" t="str">
        <f t="shared" si="353"/>
        <v>2DA-SEP</v>
      </c>
      <c r="R192" s="26">
        <v>0.3</v>
      </c>
      <c r="S192" s="41" t="s">
        <v>34</v>
      </c>
      <c r="T192" s="8" t="s">
        <v>352</v>
      </c>
      <c r="U192" s="25"/>
      <c r="V192" s="7">
        <v>563000</v>
      </c>
      <c r="W192" s="7">
        <f t="shared" si="512"/>
        <v>0</v>
      </c>
      <c r="X192" s="7">
        <f t="shared" si="355"/>
        <v>563000</v>
      </c>
      <c r="Y192" s="7">
        <v>0</v>
      </c>
      <c r="Z192" s="7">
        <f t="shared" si="356"/>
        <v>0</v>
      </c>
      <c r="AA192" s="148" t="str">
        <f t="shared" si="357"/>
        <v>5%</v>
      </c>
      <c r="AB192" s="148">
        <f t="shared" si="358"/>
        <v>0.95</v>
      </c>
      <c r="AC192" s="25">
        <f ca="1">TODAY()-29</f>
        <v>41093</v>
      </c>
      <c r="AD192" s="25">
        <f t="shared" ref="AD192:AE192" ca="1" si="529">TODAY()-29</f>
        <v>41093</v>
      </c>
      <c r="AE192" s="25">
        <f t="shared" ca="1" si="529"/>
        <v>41093</v>
      </c>
      <c r="AF192" s="8"/>
      <c r="AG192" s="59" t="str">
        <f t="shared" ca="1" si="360"/>
        <v>NA</v>
      </c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59" t="str">
        <f t="shared" si="409"/>
        <v>NA</v>
      </c>
      <c r="AS192" s="59" t="str">
        <f t="shared" si="410"/>
        <v/>
      </c>
      <c r="AT192" s="59"/>
      <c r="AU192" s="59" t="str">
        <f t="shared" si="337"/>
        <v>ND</v>
      </c>
      <c r="AV192" s="66"/>
      <c r="AW192" s="66"/>
      <c r="AX192" s="66"/>
      <c r="AY192" s="66"/>
      <c r="AZ192" s="8"/>
      <c r="BA192" s="8" t="s">
        <v>37</v>
      </c>
      <c r="BB192" s="8"/>
      <c r="BC192" s="8"/>
      <c r="BD192" s="8"/>
      <c r="BE192" s="8"/>
      <c r="BF192" s="8"/>
      <c r="BG192" s="8"/>
      <c r="BH192" s="8"/>
      <c r="BI192" s="8"/>
      <c r="BJ192" s="8"/>
      <c r="BK192" s="59"/>
      <c r="BL192" s="59"/>
      <c r="BM192" s="59"/>
      <c r="BN192" s="164">
        <v>0.01</v>
      </c>
      <c r="BO192" s="165">
        <f t="shared" si="361"/>
        <v>3753.3333333333335</v>
      </c>
      <c r="BP192" s="165">
        <f t="shared" ref="BP192:BQ192" si="530">BO192</f>
        <v>3753.3333333333335</v>
      </c>
      <c r="BQ192" s="165">
        <f t="shared" si="530"/>
        <v>3753.3333333333335</v>
      </c>
      <c r="BR192" s="59"/>
      <c r="BS192" s="59"/>
      <c r="BT192" s="59"/>
      <c r="BU192" s="59"/>
      <c r="BV192" s="59" t="str">
        <f t="shared" si="402"/>
        <v>ND</v>
      </c>
      <c r="BW192" s="59" t="str">
        <f t="shared" si="403"/>
        <v>ND</v>
      </c>
      <c r="BX192" s="59" t="str">
        <f t="shared" si="404"/>
        <v>ND</v>
      </c>
      <c r="BY192" s="59" t="str">
        <f t="shared" si="405"/>
        <v>ND</v>
      </c>
      <c r="BZ192" s="59" t="str">
        <f t="shared" si="339"/>
        <v>NA</v>
      </c>
      <c r="CA192" s="59" t="str">
        <f t="shared" si="340"/>
        <v/>
      </c>
      <c r="CB192" s="59" t="str">
        <f t="shared" si="341"/>
        <v>NA</v>
      </c>
      <c r="CC192" s="59" t="str">
        <f t="shared" si="342"/>
        <v/>
      </c>
      <c r="CD192" s="59" t="str">
        <f t="shared" si="343"/>
        <v>NA</v>
      </c>
      <c r="CE192" s="59" t="str">
        <f t="shared" si="344"/>
        <v/>
      </c>
      <c r="CF192" s="59" t="str">
        <f t="shared" si="345"/>
        <v>NA</v>
      </c>
      <c r="CG192" s="59" t="str">
        <f t="shared" ca="1" si="346"/>
        <v>NA</v>
      </c>
      <c r="CH192" s="59" t="str">
        <f t="shared" ca="1" si="347"/>
        <v>NA</v>
      </c>
      <c r="CI192" s="59" t="str">
        <f t="shared" ca="1" si="348"/>
        <v>DE 26 A 29 DIAS</v>
      </c>
      <c r="CJ192" s="59" t="str">
        <f t="shared" ca="1" si="349"/>
        <v>DE 26 A 29 DIAS</v>
      </c>
      <c r="CK192" s="59" t="str">
        <f t="shared" ca="1" si="350"/>
        <v>DE 26 A 29 DIAS</v>
      </c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>
        <f t="shared" si="363"/>
        <v>0</v>
      </c>
      <c r="DH192" s="8">
        <f t="shared" si="364"/>
        <v>0</v>
      </c>
      <c r="DI192" s="8">
        <f t="shared" si="365"/>
        <v>0</v>
      </c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59" t="str">
        <f t="shared" si="366"/>
        <v>NA</v>
      </c>
      <c r="DU192" s="59" t="str">
        <f t="shared" si="367"/>
        <v>NA</v>
      </c>
      <c r="DV192" s="59" t="str">
        <f t="shared" si="368"/>
        <v>NA</v>
      </c>
      <c r="DW192" s="59" t="str">
        <f t="shared" si="369"/>
        <v>NA</v>
      </c>
      <c r="DX192" s="59" t="str">
        <f t="shared" si="370"/>
        <v>NA</v>
      </c>
      <c r="DY192" s="59" t="str">
        <f t="shared" si="371"/>
        <v>NA</v>
      </c>
      <c r="DZ192" s="59" t="str">
        <f t="shared" si="372"/>
        <v>NA</v>
      </c>
      <c r="EA192" s="59" t="str">
        <f t="shared" si="373"/>
        <v>NA</v>
      </c>
      <c r="EB192" s="59" t="str">
        <f t="shared" si="374"/>
        <v>NA</v>
      </c>
      <c r="EC192" s="59" t="str">
        <f t="shared" si="375"/>
        <v>NA</v>
      </c>
      <c r="ED192" s="59" t="str">
        <f t="shared" si="376"/>
        <v/>
      </c>
      <c r="EE192" s="59" t="str">
        <f t="shared" si="377"/>
        <v/>
      </c>
      <c r="EF192" s="59" t="str">
        <f t="shared" si="378"/>
        <v/>
      </c>
      <c r="EG192" s="59" t="str">
        <f t="shared" si="379"/>
        <v/>
      </c>
      <c r="EH192" s="59" t="str">
        <f t="shared" si="380"/>
        <v/>
      </c>
      <c r="EI192" s="59" t="str">
        <f t="shared" si="381"/>
        <v/>
      </c>
      <c r="EJ192" s="59" t="str">
        <f t="shared" si="382"/>
        <v/>
      </c>
      <c r="EK192" s="59" t="str">
        <f t="shared" si="383"/>
        <v/>
      </c>
      <c r="EL192" s="59" t="str">
        <f t="shared" si="384"/>
        <v/>
      </c>
      <c r="EM192" s="59" t="str">
        <f t="shared" si="385"/>
        <v/>
      </c>
      <c r="EN192" s="59" t="str">
        <f t="shared" si="386"/>
        <v/>
      </c>
      <c r="EO192" s="59" t="str">
        <f t="shared" si="387"/>
        <v/>
      </c>
      <c r="EP192" s="59" t="str">
        <f t="shared" si="388"/>
        <v/>
      </c>
      <c r="EQ192" s="59" t="str">
        <f t="shared" si="389"/>
        <v/>
      </c>
      <c r="ER192" s="59" t="str">
        <f t="shared" si="390"/>
        <v/>
      </c>
      <c r="ES192" s="59" t="str">
        <f t="shared" si="391"/>
        <v/>
      </c>
      <c r="ET192" s="59" t="str">
        <f t="shared" si="392"/>
        <v/>
      </c>
      <c r="EU192" s="59" t="str">
        <f t="shared" si="393"/>
        <v/>
      </c>
      <c r="EV192" s="59" t="str">
        <f t="shared" si="394"/>
        <v/>
      </c>
      <c r="EW192" s="59" t="str">
        <f t="shared" si="395"/>
        <v/>
      </c>
      <c r="EX192" s="56">
        <f t="shared" si="351"/>
        <v>1126000</v>
      </c>
    </row>
    <row r="193" spans="1:154" x14ac:dyDescent="0.25">
      <c r="A193" s="2">
        <f t="shared" si="396"/>
        <v>192</v>
      </c>
      <c r="B193" s="2" t="s">
        <v>6</v>
      </c>
      <c r="C193" s="2" t="str">
        <f t="shared" si="352"/>
        <v>030314</v>
      </c>
      <c r="D193" s="2">
        <v>3</v>
      </c>
      <c r="E193" s="2">
        <v>3</v>
      </c>
      <c r="F193" s="2">
        <v>14</v>
      </c>
      <c r="G193" s="11" t="s">
        <v>20</v>
      </c>
      <c r="H193" s="4"/>
      <c r="I193" s="42" t="s">
        <v>58</v>
      </c>
      <c r="J193" s="9">
        <v>80</v>
      </c>
      <c r="K193" s="9"/>
      <c r="L193" s="10" t="s">
        <v>8</v>
      </c>
      <c r="M193" s="22" t="s">
        <v>176</v>
      </c>
      <c r="N193" s="7">
        <f t="shared" si="397"/>
        <v>1135000</v>
      </c>
      <c r="O193" s="8">
        <v>231</v>
      </c>
      <c r="P193" s="25">
        <v>41167</v>
      </c>
      <c r="Q193" s="8" t="str">
        <f t="shared" si="353"/>
        <v>2DA-SEP</v>
      </c>
      <c r="R193" s="26">
        <v>0.3</v>
      </c>
      <c r="S193" s="41" t="s">
        <v>34</v>
      </c>
      <c r="T193" s="8" t="s">
        <v>352</v>
      </c>
      <c r="U193" s="25"/>
      <c r="V193" s="7">
        <v>567500</v>
      </c>
      <c r="W193" s="7">
        <f t="shared" si="512"/>
        <v>0</v>
      </c>
      <c r="X193" s="7">
        <f t="shared" si="355"/>
        <v>567500</v>
      </c>
      <c r="Y193" s="7">
        <v>0</v>
      </c>
      <c r="Z193" s="7">
        <f t="shared" si="356"/>
        <v>0</v>
      </c>
      <c r="AA193" s="148" t="str">
        <f t="shared" si="357"/>
        <v>5%</v>
      </c>
      <c r="AB193" s="148">
        <f t="shared" si="358"/>
        <v>0.95</v>
      </c>
      <c r="AC193" s="25">
        <f ca="1">TODAY()-30</f>
        <v>41092</v>
      </c>
      <c r="AD193" s="25">
        <f t="shared" ref="AD193:AE193" ca="1" si="531">TODAY()-30</f>
        <v>41092</v>
      </c>
      <c r="AE193" s="25">
        <f t="shared" ca="1" si="531"/>
        <v>41092</v>
      </c>
      <c r="AF193" s="8"/>
      <c r="AG193" s="59" t="str">
        <f t="shared" ca="1" si="360"/>
        <v>NA</v>
      </c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59" t="str">
        <f t="shared" si="409"/>
        <v>NA</v>
      </c>
      <c r="AS193" s="59" t="str">
        <f t="shared" si="410"/>
        <v/>
      </c>
      <c r="AT193" s="59"/>
      <c r="AU193" s="59" t="str">
        <f t="shared" si="337"/>
        <v>ND</v>
      </c>
      <c r="AV193" s="66"/>
      <c r="AW193" s="66"/>
      <c r="AX193" s="66"/>
      <c r="AY193" s="66"/>
      <c r="AZ193" s="8"/>
      <c r="BA193" s="8" t="s">
        <v>37</v>
      </c>
      <c r="BB193" s="8"/>
      <c r="BC193" s="8"/>
      <c r="BD193" s="8"/>
      <c r="BE193" s="8"/>
      <c r="BF193" s="8"/>
      <c r="BG193" s="8"/>
      <c r="BH193" s="8"/>
      <c r="BI193" s="8"/>
      <c r="BJ193" s="8"/>
      <c r="BK193" s="59"/>
      <c r="BL193" s="59"/>
      <c r="BM193" s="59"/>
      <c r="BN193" s="164">
        <v>0.01</v>
      </c>
      <c r="BO193" s="165">
        <f t="shared" si="361"/>
        <v>3783.3333333333335</v>
      </c>
      <c r="BP193" s="165">
        <f t="shared" ref="BP193:BQ193" si="532">BO193</f>
        <v>3783.3333333333335</v>
      </c>
      <c r="BQ193" s="165">
        <f t="shared" si="532"/>
        <v>3783.3333333333335</v>
      </c>
      <c r="BR193" s="59"/>
      <c r="BS193" s="59"/>
      <c r="BT193" s="59"/>
      <c r="BU193" s="59"/>
      <c r="BV193" s="59" t="str">
        <f t="shared" si="402"/>
        <v>ND</v>
      </c>
      <c r="BW193" s="59" t="str">
        <f t="shared" si="403"/>
        <v>ND</v>
      </c>
      <c r="BX193" s="59" t="str">
        <f t="shared" si="404"/>
        <v>ND</v>
      </c>
      <c r="BY193" s="59" t="str">
        <f t="shared" si="405"/>
        <v>ND</v>
      </c>
      <c r="BZ193" s="59" t="str">
        <f t="shared" si="339"/>
        <v>NA</v>
      </c>
      <c r="CA193" s="59" t="str">
        <f t="shared" si="340"/>
        <v/>
      </c>
      <c r="CB193" s="59" t="str">
        <f t="shared" si="341"/>
        <v>NA</v>
      </c>
      <c r="CC193" s="59" t="str">
        <f t="shared" si="342"/>
        <v/>
      </c>
      <c r="CD193" s="59" t="str">
        <f t="shared" si="343"/>
        <v>NA</v>
      </c>
      <c r="CE193" s="59" t="str">
        <f t="shared" si="344"/>
        <v/>
      </c>
      <c r="CF193" s="59" t="str">
        <f t="shared" si="345"/>
        <v>NA</v>
      </c>
      <c r="CG193" s="59" t="str">
        <f t="shared" ca="1" si="346"/>
        <v>NA</v>
      </c>
      <c r="CH193" s="59" t="str">
        <f t="shared" ca="1" si="347"/>
        <v>NA</v>
      </c>
      <c r="CI193" s="59" t="str">
        <f t="shared" ca="1" si="348"/>
        <v>30 DIAS</v>
      </c>
      <c r="CJ193" s="59" t="str">
        <f t="shared" ca="1" si="349"/>
        <v>30 DIAS</v>
      </c>
      <c r="CK193" s="59" t="str">
        <f t="shared" ca="1" si="350"/>
        <v>30 DIAS</v>
      </c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>
        <f t="shared" si="363"/>
        <v>0</v>
      </c>
      <c r="DH193" s="8">
        <f t="shared" si="364"/>
        <v>0</v>
      </c>
      <c r="DI193" s="8">
        <f t="shared" si="365"/>
        <v>0</v>
      </c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59" t="str">
        <f t="shared" si="366"/>
        <v>NA</v>
      </c>
      <c r="DU193" s="59" t="str">
        <f t="shared" si="367"/>
        <v>NA</v>
      </c>
      <c r="DV193" s="59" t="str">
        <f t="shared" si="368"/>
        <v>NA</v>
      </c>
      <c r="DW193" s="59" t="str">
        <f t="shared" si="369"/>
        <v>NA</v>
      </c>
      <c r="DX193" s="59" t="str">
        <f t="shared" si="370"/>
        <v>NA</v>
      </c>
      <c r="DY193" s="59" t="str">
        <f t="shared" si="371"/>
        <v>NA</v>
      </c>
      <c r="DZ193" s="59" t="str">
        <f t="shared" si="372"/>
        <v>NA</v>
      </c>
      <c r="EA193" s="59" t="str">
        <f t="shared" si="373"/>
        <v>NA</v>
      </c>
      <c r="EB193" s="59" t="str">
        <f t="shared" si="374"/>
        <v>NA</v>
      </c>
      <c r="EC193" s="59" t="str">
        <f t="shared" si="375"/>
        <v>NA</v>
      </c>
      <c r="ED193" s="59" t="str">
        <f t="shared" si="376"/>
        <v/>
      </c>
      <c r="EE193" s="59" t="str">
        <f t="shared" si="377"/>
        <v/>
      </c>
      <c r="EF193" s="59" t="str">
        <f t="shared" si="378"/>
        <v/>
      </c>
      <c r="EG193" s="59" t="str">
        <f t="shared" si="379"/>
        <v/>
      </c>
      <c r="EH193" s="59" t="str">
        <f t="shared" si="380"/>
        <v/>
      </c>
      <c r="EI193" s="59" t="str">
        <f t="shared" si="381"/>
        <v/>
      </c>
      <c r="EJ193" s="59" t="str">
        <f t="shared" si="382"/>
        <v/>
      </c>
      <c r="EK193" s="59" t="str">
        <f t="shared" si="383"/>
        <v/>
      </c>
      <c r="EL193" s="59" t="str">
        <f t="shared" si="384"/>
        <v/>
      </c>
      <c r="EM193" s="59" t="str">
        <f t="shared" si="385"/>
        <v/>
      </c>
      <c r="EN193" s="59" t="str">
        <f t="shared" si="386"/>
        <v/>
      </c>
      <c r="EO193" s="59" t="str">
        <f t="shared" si="387"/>
        <v/>
      </c>
      <c r="EP193" s="59" t="str">
        <f t="shared" si="388"/>
        <v/>
      </c>
      <c r="EQ193" s="59" t="str">
        <f t="shared" si="389"/>
        <v/>
      </c>
      <c r="ER193" s="59" t="str">
        <f t="shared" si="390"/>
        <v/>
      </c>
      <c r="ES193" s="59" t="str">
        <f t="shared" si="391"/>
        <v/>
      </c>
      <c r="ET193" s="59" t="str">
        <f t="shared" si="392"/>
        <v/>
      </c>
      <c r="EU193" s="59" t="str">
        <f t="shared" si="393"/>
        <v/>
      </c>
      <c r="EV193" s="59" t="str">
        <f t="shared" si="394"/>
        <v/>
      </c>
      <c r="EW193" s="59" t="str">
        <f t="shared" si="395"/>
        <v/>
      </c>
      <c r="EX193" s="56">
        <f t="shared" si="351"/>
        <v>1135000</v>
      </c>
    </row>
    <row r="194" spans="1:154" x14ac:dyDescent="0.25">
      <c r="A194" s="2">
        <f t="shared" si="396"/>
        <v>193</v>
      </c>
      <c r="B194" s="2" t="s">
        <v>6</v>
      </c>
      <c r="C194" s="2" t="str">
        <f t="shared" si="352"/>
        <v>030315</v>
      </c>
      <c r="D194" s="2">
        <v>3</v>
      </c>
      <c r="E194" s="2">
        <v>3</v>
      </c>
      <c r="F194" s="2">
        <v>15</v>
      </c>
      <c r="G194" s="11" t="s">
        <v>20</v>
      </c>
      <c r="H194" s="4"/>
      <c r="I194" s="42" t="s">
        <v>58</v>
      </c>
      <c r="J194" s="9">
        <v>80</v>
      </c>
      <c r="K194" s="5"/>
      <c r="L194" s="6" t="s">
        <v>306</v>
      </c>
      <c r="M194" s="22" t="s">
        <v>176</v>
      </c>
      <c r="N194" s="7">
        <f t="shared" si="397"/>
        <v>1126000</v>
      </c>
      <c r="O194" s="8">
        <v>232</v>
      </c>
      <c r="P194" s="25">
        <v>41167</v>
      </c>
      <c r="Q194" s="8" t="str">
        <f t="shared" si="353"/>
        <v>2DA-SEP</v>
      </c>
      <c r="R194" s="26">
        <v>0.3</v>
      </c>
      <c r="S194" s="41" t="s">
        <v>34</v>
      </c>
      <c r="T194" s="8" t="s">
        <v>352</v>
      </c>
      <c r="U194" s="8"/>
      <c r="V194" s="7">
        <v>563000</v>
      </c>
      <c r="W194" s="7">
        <f t="shared" si="512"/>
        <v>0</v>
      </c>
      <c r="X194" s="7">
        <f t="shared" si="355"/>
        <v>563000</v>
      </c>
      <c r="Y194" s="7">
        <v>0</v>
      </c>
      <c r="Z194" s="7">
        <f t="shared" si="356"/>
        <v>0</v>
      </c>
      <c r="AA194" s="148" t="str">
        <f t="shared" si="357"/>
        <v>5%</v>
      </c>
      <c r="AB194" s="148">
        <f t="shared" si="358"/>
        <v>0.95</v>
      </c>
      <c r="AC194" s="25">
        <f ca="1">TODAY()-34</f>
        <v>41088</v>
      </c>
      <c r="AD194" s="25">
        <f t="shared" ref="AD194:AE194" ca="1" si="533">TODAY()-34</f>
        <v>41088</v>
      </c>
      <c r="AE194" s="25">
        <f t="shared" ca="1" si="533"/>
        <v>41088</v>
      </c>
      <c r="AF194" s="8"/>
      <c r="AG194" s="59" t="str">
        <f t="shared" ca="1" si="360"/>
        <v>NA</v>
      </c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59" t="str">
        <f t="shared" si="409"/>
        <v>NA</v>
      </c>
      <c r="AS194" s="59" t="str">
        <f t="shared" si="410"/>
        <v/>
      </c>
      <c r="AT194" s="59"/>
      <c r="AU194" s="59" t="str">
        <f t="shared" ref="AU194:AU257" si="534">IF(AT194=0,"ND",(IF(AT194&gt;0,IF(AT194&lt;=12000,"HASTA 12 MIL",""),""))&amp;IF(AT194&gt;12000,IF(AT194&lt;=18000,"ENTRE 12 Y 18 MIL",""),""))&amp;IF(AT194&gt;18000,IF(AT194&lt;=25000,"ENTRE 18 Y 25 MIL",""),"")&amp;IF(AT194&gt;25000,IF(AT194&lt;=35000,"ENTRE 25 Y 35 MIL",""),"")&amp;IF(AT194&gt;35000,IF(AT194&lt;=45000,"ENTRE 35 Y 45 MIL",""),"")&amp;IF(AT194&gt;45000,"MAYOR A 45 MILES","")</f>
        <v>ND</v>
      </c>
      <c r="AV194" s="66"/>
      <c r="AW194" s="66"/>
      <c r="AX194" s="66"/>
      <c r="AY194" s="66"/>
      <c r="AZ194" s="8"/>
      <c r="BA194" s="8" t="s">
        <v>37</v>
      </c>
      <c r="BB194" s="8"/>
      <c r="BC194" s="8"/>
      <c r="BD194" s="8"/>
      <c r="BE194" s="8"/>
      <c r="BF194" s="8"/>
      <c r="BG194" s="8"/>
      <c r="BH194" s="8"/>
      <c r="BI194" s="8"/>
      <c r="BJ194" s="8"/>
      <c r="BK194" s="59"/>
      <c r="BL194" s="59"/>
      <c r="BM194" s="59"/>
      <c r="BN194" s="164">
        <v>0.01</v>
      </c>
      <c r="BO194" s="165">
        <f t="shared" si="361"/>
        <v>3753.3333333333335</v>
      </c>
      <c r="BP194" s="165">
        <f t="shared" ref="BP194:BQ194" si="535">BO194</f>
        <v>3753.3333333333335</v>
      </c>
      <c r="BQ194" s="165">
        <f t="shared" si="535"/>
        <v>3753.3333333333335</v>
      </c>
      <c r="BR194" s="59"/>
      <c r="BS194" s="59"/>
      <c r="BT194" s="59"/>
      <c r="BU194" s="59"/>
      <c r="BV194" s="59" t="str">
        <f t="shared" si="402"/>
        <v>ND</v>
      </c>
      <c r="BW194" s="59" t="str">
        <f t="shared" si="403"/>
        <v>ND</v>
      </c>
      <c r="BX194" s="59" t="str">
        <f t="shared" si="404"/>
        <v>ND</v>
      </c>
      <c r="BY194" s="59" t="str">
        <f t="shared" si="405"/>
        <v>ND</v>
      </c>
      <c r="BZ194" s="59" t="str">
        <f t="shared" ref="BZ194:BZ257" si="536">IF(AZ194=0,"NA","SEM "&amp;WEEKNUM(AZ194))</f>
        <v>NA</v>
      </c>
      <c r="CA194" s="59" t="str">
        <f t="shared" ref="CA194:CA257" si="537">IF(AZ194=0,"",IF(MONTH(AZ194)=1,"ENE","")&amp;IF(MONTH(AZ194)=2,"FEB","")&amp;IF(MONTH(AZ194)=3,"MAR","")&amp;IF(MONTH(AZ194)=4,"ABR","")&amp;IF(MONTH(AZ194)=5,"MAY","")&amp;IF(MONTH(AZ194)=6,"JUN","")&amp;IF(MONTH(AZ194)=7,"JUL","")&amp;IF(MONTH(AZ194)=8,"AGO","")&amp;IF(MONTH(AZ194)=9,"SEP","")&amp;IF(MONTH(AZ194)=10,"OCT","")&amp;IF(MONTH(AZ194)=11,"NOV","")&amp;IF(MONTH(AZ194)=12,"DIC",""))</f>
        <v/>
      </c>
      <c r="CB194" s="59" t="str">
        <f t="shared" ref="CB194:CB257" si="538">IF(BF194=0,"NA","SEM "&amp;WEEKNUM(BF194))</f>
        <v>NA</v>
      </c>
      <c r="CC194" s="59" t="str">
        <f t="shared" ref="CC194:CC257" si="539">IF(BF194=0,"",IF(MONTH(BF194)=1,"ENE","")&amp;IF(MONTH(BF194)=2,"FEB","")&amp;IF(MONTH(BF194)=3,"MAR","")&amp;IF(MONTH(BF194)=4,"ABR","")&amp;IF(MONTH(BF194)=5,"MAY","")&amp;IF(MONTH(BF194)=6,"JUN","")&amp;IF(MONTH(BF194)=7,"JUL","")&amp;IF(MONTH(BF194)=8,"AGO","")&amp;IF(MONTH(BF194)=9,"SEP","")&amp;IF(MONTH(BF194)=10,"OCT","")&amp;IF(MONTH(BF194)=11,"NOV","")&amp;IF(MONTH(BF194)=12,"DIC",""))</f>
        <v/>
      </c>
      <c r="CD194" s="59" t="str">
        <f t="shared" ref="CD194:CD257" si="540">IF(BJ194=0,"NA","SEM "&amp;WEEKNUM(BJ194))</f>
        <v>NA</v>
      </c>
      <c r="CE194" s="59" t="str">
        <f t="shared" ref="CE194:CE257" si="541">IF(BJ194=0,"",IF(MONTH(BJ194)=1,"ENE","")&amp;IF(MONTH(BJ194)=2,"FEB","")&amp;IF(MONTH(BJ194)=3,"MAR","")&amp;IF(MONTH(BJ194)=4,"ABR","")&amp;IF(MONTH(BJ194)=5,"MAY","")&amp;IF(MONTH(BJ194)=6,"JUN","")&amp;IF(MONTH(BJ194)=7,"JUL","")&amp;IF(MONTH(BJ194)=8,"AGO","")&amp;IF(MONTH(BJ194)=9,"SEP","")&amp;IF(MONTH(BJ194)=10,"OCT","")&amp;IF(MONTH(BJ194)=11,"NOV","")&amp;IF(MONTH(BJ194)=12,"DIC",""))</f>
        <v/>
      </c>
      <c r="CF194" s="59" t="str">
        <f t="shared" ref="CF194:CF234" si="542">IF(OR(BA194="FIRMADO",BA194="COBRADO"),IF(BF194=0,"",IF(DAY(BF194)&lt;16,"1RA","2DA")&amp;"-"&amp;(IF(MONTH(BF194)=1,"ENE","")&amp;IF(MONTH(BF194)=2,"FEB","")&amp;IF(MONTH(BF194)=3,"MAR","")&amp;IF(MONTH(BF194)=4,"ABR","")&amp;IF(MONTH(BF194)=5,"MAY","")&amp;IF(MONTH(BF194)=6,"JUN","")&amp;IF(MONTH(BF194)=7,"JUL","")&amp;IF(MONTH(BF194)=8,"AGO","")&amp;IF(MONTH(BF194)=9,"SEP","")&amp;IF(MONTH(BF194)=10,"OCT","")&amp;IF(MONTH(BF194)=11,"NOV","")&amp;IF(MONTH(BF194)=12,"DIC",""))),IF(BA194="SIN CLIENTE","NA",IF(BC194=0,"",IF(DAY(BC194)&lt;16,"1RA","2DA")&amp;"-"&amp;(IF(MONTH(BC194)=1,"ENE","")&amp;IF(MONTH(BC194)=2,"FEB","")&amp;IF(MONTH(BC194)=3,"MAR","")&amp;IF(MONTH(BC194)=4,"ABR","")&amp;IF(MONTH(BC194)=5,"MAY","")&amp;IF(MONTH(BC194)=6,"JUN","")&amp;IF(MONTH(BC194)=7,"JUL","")&amp;IF(MONTH(BC194)=8,"AGO","")&amp;IF(MONTH(BC194)=9,"SEP","")&amp;IF(MONTH(BC194)=10,"OCT","")&amp;IF(MONTH(BC194)=11,"NOV","")&amp;IF(MONTH(BC194)=12,"DIC","")))))</f>
        <v>NA</v>
      </c>
      <c r="CG194" s="59" t="str">
        <f t="shared" ref="CG194:CG234" ca="1" si="543">IF(AZ194=0,"NA",IF(TODAY()-AZ194&lt;=3,"HASTA 3 DIAS","")&amp;IF(TODAY()-AZ194&gt;3,IF(TODAY()-AZ194&lt;=7,"1RA SEM",""),"")&amp;IF(TODAY()-AZ194&gt;7,IF(TODAY()-AZ194&lt;=14,"2DA SEM",""),"")&amp;IF(TODAY()-AZ194&gt;14,IF(TODAY()-AZ194&lt;=21,"3RA SEM",""),"")&amp;IF(TODAY()-AZ194&gt;21,IF(TODAY()-AZ194&lt;=28,"4TA SEM",""),"")&amp;IF(TODAY()-AZ194&gt;28,IF(TODAY()-AZ194&lt;=35,"5TA SEM",""),"")&amp;IF(TODAY()-AZ194&gt;35,IF(TODAY()-AZ194&lt;=42,"6TA SEM",""),"")&amp;IF(TODAY()-AZ194&gt;42,IF(TODAY()-AZ194&lt;=49,"7MA SEM",""),"")&amp;IF(TODAY()-AZ194&gt;49,IF(TODAY()-AZ194&lt;=56,"8VA SEM",""),"")&amp;IF(TODAY()-AZ194&gt;56,"MAYOR A 2 MESES",""))</f>
        <v>NA</v>
      </c>
      <c r="CH194" s="59" t="str">
        <f t="shared" ref="CH194:CH234" ca="1" si="544">IF(BF194=0,"NA",IF(TODAY()-BF194&lt;=3,"HASTA 3 DIAS","")&amp;IF(TODAY()-BF194&gt;3,IF(TODAY()-BF194&lt;=7,"1RA SEM",""),"")&amp;IF(TODAY()-BF194&gt;7,IF(TODAY()-BF194&lt;=14,"2DA SEM",""),"")&amp;IF(TODAY()-BF194&gt;14,IF(TODAY()-BF194&lt;=21,"3RA SEM",""),"")&amp;IF(TODAY()-BF194&gt;21,IF(TODAY()-BF194&lt;=28,"4TA SEM",""),"")&amp;IF(TODAY()-BF194&gt;28,IF(TODAY()-BF194&lt;=35,"5TA SEM",""),"")&amp;IF(TODAY()-BF194&gt;35,IF(TODAY()-BF194&lt;=42,"6TA SEM",""),"")&amp;IF(TODAY()-BF194&gt;42,IF(TODAY()-BF194&lt;=49,"7MA SEM",""),"")&amp;IF(TODAY()-BF194&gt;49,IF(TODAY()-BF194&lt;=56,"8VA SEM",""),"")&amp;IF(TODAY()-BF194&gt;56,"MAYOR A 2 MESES",""))</f>
        <v>NA</v>
      </c>
      <c r="CI194" s="59" t="str">
        <f t="shared" ref="CI194:CI257" ca="1" si="545">IF(AC194=0,"ND",IF(TODAY()-AC194&lt;=5,"HASTA 5 DIAS","")&amp;IF(TODAY()-AC194&gt;5,IF(TODAY()-AC194&lt;=10,"DE 6 A 10 DIAS",""),"")&amp;IF(TODAY()-AC194&gt;10,IF(TODAY()-AC194&lt;=15,"DE 11 A 15 DIAS",""),"")&amp;IF(TODAY()-AC194&gt;15,IF(TODAY()-AC194&lt;=20,"DE 16 A 20 DIAS",""),"")&amp;IF(TODAY()-AC194&gt;20,IF(TODAY()-AC194&lt;=25,"DE 21 A 25 DIAS",""),"")&amp;IF(TODAY()-AC194&gt;25,IF(TODAY()-AC194&lt;=29,"DE 26 A 29 DIAS",""),"")&amp;IF(TODAY()-AC194=30,"30 DIAS","")&amp;IF(TODAY()-AC194&gt;30,IF(TODAY()-AC194&lt;=35,"DE 31 A 35 DIAS",""),"")&amp;IF(TODAY()-AC194&gt;35,IF(TODAY()-AC194&lt;=45,"DE 36 A 45 DIAS",""),"")&amp;IF(TODAY()-AC194&gt;45,"MAYOR A 45 DIAS",""))</f>
        <v>DE 31 A 35 DIAS</v>
      </c>
      <c r="CJ194" s="59" t="str">
        <f t="shared" ref="CJ194:CJ257" ca="1" si="546">IF(AD194=0,"ND",IF(TODAY()-AD194&lt;=5,"HASTA 5 DIAS","")&amp;IF(TODAY()-AD194&gt;5,IF(TODAY()-AD194&lt;=10,"DE 6 A 10 DIAS",""),"")&amp;IF(TODAY()-AD194&gt;10,IF(TODAY()-AD194&lt;=15,"DE 11 A 15 DIAS",""),"")&amp;IF(TODAY()-AD194&gt;15,IF(TODAY()-AD194&lt;=20,"DE 16 A 20 DIAS",""),"")&amp;IF(TODAY()-AD194&gt;20,IF(TODAY()-AD194&lt;=25,"DE 21 A 25 DIAS",""),"")&amp;IF(TODAY()-AD194&gt;25,IF(TODAY()-AD194&lt;=29,"DE 26 A 29 DIAS",""),"")&amp;IF(TODAY()-AD194=30,"30 DIAS","")&amp;IF(TODAY()-AD194&gt;30,IF(TODAY()-AD194&lt;=35,"DE 31 A 35 DIAS",""),"")&amp;IF(TODAY()-AD194&gt;35,IF(TODAY()-AD194&lt;=45,"DE 36 A 45 DIAS",""),"")&amp;IF(TODAY()-AD194&gt;45,"MAYOR A 45 DIAS",""))</f>
        <v>DE 31 A 35 DIAS</v>
      </c>
      <c r="CK194" s="59" t="str">
        <f t="shared" ref="CK194:CK257" ca="1" si="547">IF(AE194=0,"ND",IF(TODAY()-AE194&lt;=5,"HASTA 5 DIAS","")&amp;IF(TODAY()-AE194&gt;5,IF(TODAY()-AE194&lt;=10,"DE 6 A 10 DIAS",""),"")&amp;IF(TODAY()-AE194&gt;10,IF(TODAY()-AE194&lt;=15,"DE 11 A 15 DIAS",""),"")&amp;IF(TODAY()-AE194&gt;15,IF(TODAY()-AE194&lt;=20,"DE 16 A 20 DIAS",""),"")&amp;IF(TODAY()-AE194&gt;20,IF(TODAY()-AE194&lt;=25,"DE 21 A 25 DIAS",""),"")&amp;IF(TODAY()-AE194&gt;25,IF(TODAY()-AE194&lt;=29,"DE 26 A 29 DIAS",""),"")&amp;IF(TODAY()-AE194=30,"30 DIAS","")&amp;IF(TODAY()-AE194&gt;30,IF(TODAY()-AE194&lt;=35,"DE 31 A 35 DIAS",""),"")&amp;IF(TODAY()-AE194&gt;35,IF(TODAY()-AE194&lt;=45,"DE 36 A 45 DIAS",""),"")&amp;IF(TODAY()-AE194&gt;45,"MAYOR A 45 DIAS",""))</f>
        <v>DE 31 A 35 DIAS</v>
      </c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>
        <f t="shared" si="363"/>
        <v>0</v>
      </c>
      <c r="DH194" s="8">
        <f t="shared" si="364"/>
        <v>0</v>
      </c>
      <c r="DI194" s="8">
        <f t="shared" si="365"/>
        <v>0</v>
      </c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59" t="str">
        <f t="shared" si="366"/>
        <v>NA</v>
      </c>
      <c r="DU194" s="59" t="str">
        <f t="shared" si="367"/>
        <v>NA</v>
      </c>
      <c r="DV194" s="59" t="str">
        <f t="shared" si="368"/>
        <v>NA</v>
      </c>
      <c r="DW194" s="59" t="str">
        <f t="shared" si="369"/>
        <v>NA</v>
      </c>
      <c r="DX194" s="59" t="str">
        <f t="shared" si="370"/>
        <v>NA</v>
      </c>
      <c r="DY194" s="59" t="str">
        <f t="shared" si="371"/>
        <v>NA</v>
      </c>
      <c r="DZ194" s="59" t="str">
        <f t="shared" si="372"/>
        <v>NA</v>
      </c>
      <c r="EA194" s="59" t="str">
        <f t="shared" si="373"/>
        <v>NA</v>
      </c>
      <c r="EB194" s="59" t="str">
        <f t="shared" si="374"/>
        <v>NA</v>
      </c>
      <c r="EC194" s="59" t="str">
        <f t="shared" si="375"/>
        <v>NA</v>
      </c>
      <c r="ED194" s="59" t="str">
        <f t="shared" si="376"/>
        <v/>
      </c>
      <c r="EE194" s="59" t="str">
        <f t="shared" si="377"/>
        <v/>
      </c>
      <c r="EF194" s="59" t="str">
        <f t="shared" si="378"/>
        <v/>
      </c>
      <c r="EG194" s="59" t="str">
        <f t="shared" si="379"/>
        <v/>
      </c>
      <c r="EH194" s="59" t="str">
        <f t="shared" si="380"/>
        <v/>
      </c>
      <c r="EI194" s="59" t="str">
        <f t="shared" si="381"/>
        <v/>
      </c>
      <c r="EJ194" s="59" t="str">
        <f t="shared" si="382"/>
        <v/>
      </c>
      <c r="EK194" s="59" t="str">
        <f t="shared" si="383"/>
        <v/>
      </c>
      <c r="EL194" s="59" t="str">
        <f t="shared" si="384"/>
        <v/>
      </c>
      <c r="EM194" s="59" t="str">
        <f t="shared" si="385"/>
        <v/>
      </c>
      <c r="EN194" s="59" t="str">
        <f t="shared" si="386"/>
        <v/>
      </c>
      <c r="EO194" s="59" t="str">
        <f t="shared" si="387"/>
        <v/>
      </c>
      <c r="EP194" s="59" t="str">
        <f t="shared" si="388"/>
        <v/>
      </c>
      <c r="EQ194" s="59" t="str">
        <f t="shared" si="389"/>
        <v/>
      </c>
      <c r="ER194" s="59" t="str">
        <f t="shared" si="390"/>
        <v/>
      </c>
      <c r="ES194" s="59" t="str">
        <f t="shared" si="391"/>
        <v/>
      </c>
      <c r="ET194" s="59" t="str">
        <f t="shared" si="392"/>
        <v/>
      </c>
      <c r="EU194" s="59" t="str">
        <f t="shared" si="393"/>
        <v/>
      </c>
      <c r="EV194" s="59" t="str">
        <f t="shared" si="394"/>
        <v/>
      </c>
      <c r="EW194" s="59" t="str">
        <f t="shared" si="395"/>
        <v/>
      </c>
      <c r="EX194" s="56">
        <f t="shared" ref="EX194:EX257" si="548">-(CL194+CM194+CN194+CO194+CP194+CQ194+CR194+CS194+CT194+CU194+CV194-N194)</f>
        <v>1126000</v>
      </c>
    </row>
    <row r="195" spans="1:154" x14ac:dyDescent="0.25">
      <c r="A195" s="2">
        <f t="shared" si="396"/>
        <v>194</v>
      </c>
      <c r="B195" s="2" t="s">
        <v>6</v>
      </c>
      <c r="C195" s="2" t="str">
        <f t="shared" ref="C195:C234" si="549">TEXT(D195,"00")&amp;TEXT(E195,"00")&amp;TEXT(F195,"00")</f>
        <v>030316</v>
      </c>
      <c r="D195" s="2">
        <v>3</v>
      </c>
      <c r="E195" s="2">
        <v>3</v>
      </c>
      <c r="F195" s="2">
        <v>16</v>
      </c>
      <c r="G195" s="11" t="s">
        <v>20</v>
      </c>
      <c r="H195" s="4"/>
      <c r="I195" s="42" t="s">
        <v>58</v>
      </c>
      <c r="J195" s="9">
        <v>80</v>
      </c>
      <c r="K195" s="5"/>
      <c r="L195" s="6" t="s">
        <v>306</v>
      </c>
      <c r="M195" s="22" t="s">
        <v>176</v>
      </c>
      <c r="N195" s="7">
        <f t="shared" si="397"/>
        <v>1126000</v>
      </c>
      <c r="O195" s="8">
        <v>233</v>
      </c>
      <c r="P195" s="25">
        <v>41167</v>
      </c>
      <c r="Q195" s="8" t="str">
        <f t="shared" ref="Q195:Q234" si="550">IF(DAY(P195)&lt;15,"1RA","2DA")&amp;"-"&amp;(IF(MONTH(P195)=1,"ENE","")&amp;IF(MONTH(P195)=2,"FEB","")&amp;IF(MONTH(P195)=3,"MAR","")&amp;IF(MONTH(P195)=4,"ABR","")&amp;IF(MONTH(P195)=5,"MAY","")&amp;IF(MONTH(P195)=6,"JUN","")&amp;IF(MONTH(P195)=7,"JUL","")&amp;IF(MONTH(P195)=8,"AGO","")&amp;IF(MONTH(P195)=9,"SEP","")&amp;IF(MONTH(P195)=10,"OCT","")&amp;IF(MONTH(P195)=11,"NOV","")&amp;IF(MONTH(P195)=12,"DIC",""))</f>
        <v>2DA-SEP</v>
      </c>
      <c r="R195" s="26">
        <v>0.3</v>
      </c>
      <c r="S195" s="41" t="s">
        <v>34</v>
      </c>
      <c r="T195" s="8" t="s">
        <v>352</v>
      </c>
      <c r="U195" s="8"/>
      <c r="V195" s="7">
        <v>563000</v>
      </c>
      <c r="W195" s="7">
        <f t="shared" si="512"/>
        <v>0</v>
      </c>
      <c r="X195" s="7">
        <f t="shared" ref="X195:X234" si="551">IF(S195="LIBERADO",0,V195-W195)</f>
        <v>563000</v>
      </c>
      <c r="Y195" s="7">
        <v>0</v>
      </c>
      <c r="Z195" s="7">
        <f t="shared" ref="Z195:Z234" si="552">W195-Y195</f>
        <v>0</v>
      </c>
      <c r="AA195" s="148" t="str">
        <f t="shared" ref="AA195:AA234" si="553">IF(W195/V195&lt;=5%,"5%","")&amp;IF(W195/V195&gt;5%,IF(W195/V195&lt;=10%,"10%",""),"")&amp;IF(W195/V195&gt;10%,IF(W195/V195&lt;=15%,"15%",""),"")&amp;IF(W195/V195&gt;15%,IF(W195/V195&lt;=20%,"20%",""),"")&amp;IF(W195/V195&gt;20%,IF(W195/V195&lt;=25%,"25%",""),"")&amp;IF(W195/V195&gt;25%,IF(W195/V195&lt;=30%,"30%",""),"")&amp;IF(W195/V195&gt;30%,IF(W195/V195&lt;=35%,"35%",""),"")&amp;IF(W195/V195&gt;35%,IF(W195/V195&lt;=40%,"40%",""),"")&amp;IF(W195/V195&gt;40%,IF(W195/V195&lt;=45%,"45%",""),"")&amp;IF(W195/V195&gt;45%,IF(W195/V195&lt;=50%,"50%",""),"")&amp;IF(W195/V195&gt;50%,IF(W195/V195&lt;=55%,"55%",""),"")&amp;IF(W195/V195&gt;55%,IF(W195/V195&lt;=60%,"60%",""),"")&amp;IF(W195/V195&gt;60%,IF(W195/V195&lt;=65%,"65%",""),"")&amp;IF(W195/V195&gt;65%,IF(W195/V195&lt;=70%,"70%",""),"")&amp;IF(W195/V195&gt;70%,IF(W195/V195&lt;=75%,"75%",""),"")&amp;IF(W195/V195&gt;75%,IF(W195/V195&lt;=80%,"80%",""),"")&amp;IF(W195/V195&gt;80%,IF(W195/V195&lt;=85%,"85%",""),"")&amp;IF(W195/V195&gt;85%,IF(W195/V195&lt;=90%,"90%",""),"")&amp;IF(W195/V195&gt;90%,IF(W195/V195&lt;=95%,"95%",""),"")&amp;IF(W195/V195&gt;95%,IF(W195/V195&lt;=99%,"99%",""),"")&amp;IF(W195/V195&gt;=100%,"100%","")</f>
        <v>5%</v>
      </c>
      <c r="AB195" s="148">
        <f t="shared" ref="AB195:AB234" si="554">1-AA195</f>
        <v>0.95</v>
      </c>
      <c r="AC195" s="25">
        <f ca="1">TODAY()-39</f>
        <v>41083</v>
      </c>
      <c r="AD195" s="25">
        <f t="shared" ref="AD195:AE195" ca="1" si="555">TODAY()-39</f>
        <v>41083</v>
      </c>
      <c r="AE195" s="25">
        <f t="shared" ca="1" si="555"/>
        <v>41083</v>
      </c>
      <c r="AF195" s="8"/>
      <c r="AG195" s="59" t="str">
        <f t="shared" ref="AG195:AG258" ca="1" si="556">IF(AF195="","NA",IF(TODAY()-AF195&lt;=3,"HASTA 3 DIAS","")&amp;IF(TODAY()-AF195&gt;3,IF(TODAY()-AF195&lt;=7,"1RA SEM",""),"")&amp;IF(TODAY()-AF195&gt;7,IF(TODAY()-AF195&lt;=14,"2DA SEM",""),"")&amp;IF(TODAY()-AF195&gt;14,IF(TODAY()-AF195&lt;=21,"3RA SEM",""),"")&amp;IF(TODAY()-AF195&gt;21,IF(TODAY()-AF195&lt;=28,"4TA SEM",""),"")&amp;IF(TODAY()-AF195&gt;28,IF(TODAY()-AF195&lt;=35,"5TA SEM",""),"")&amp;IF(TODAY()-AF195&gt;35,IF(TODAY()-AF195&lt;=42,"6TA SEM",""),"")&amp;IF(TODAY()-AF195&gt;42,IF(TODAY()-AF195&lt;=49,"7MA SEM",""),"")&amp;IF(TODAY()-AF195&gt;49,IF(TODAY()-AF195&lt;=56,"8VA SEM",""),"")&amp;IF(TODAY()-AF195&gt;56,"MAYOR A 2 MESES",""))</f>
        <v>NA</v>
      </c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59" t="str">
        <f t="shared" si="409"/>
        <v>NA</v>
      </c>
      <c r="AS195" s="59" t="str">
        <f t="shared" si="410"/>
        <v/>
      </c>
      <c r="AT195" s="59"/>
      <c r="AU195" s="59" t="str">
        <f t="shared" si="534"/>
        <v>ND</v>
      </c>
      <c r="AV195" s="66"/>
      <c r="AW195" s="66"/>
      <c r="AX195" s="66"/>
      <c r="AY195" s="66"/>
      <c r="AZ195" s="8"/>
      <c r="BA195" s="8" t="s">
        <v>37</v>
      </c>
      <c r="BB195" s="8"/>
      <c r="BC195" s="8"/>
      <c r="BD195" s="8"/>
      <c r="BE195" s="8"/>
      <c r="BF195" s="8"/>
      <c r="BG195" s="8"/>
      <c r="BH195" s="8"/>
      <c r="BI195" s="8"/>
      <c r="BJ195" s="8"/>
      <c r="BK195" s="59"/>
      <c r="BL195" s="59"/>
      <c r="BM195" s="59"/>
      <c r="BN195" s="164">
        <v>0.01</v>
      </c>
      <c r="BO195" s="165">
        <f t="shared" ref="BO195:BO234" si="557">(BN195*SUM(CL195:CV195,EX195))/3</f>
        <v>3753.3333333333335</v>
      </c>
      <c r="BP195" s="165">
        <f t="shared" ref="BP195:BQ195" si="558">BO195</f>
        <v>3753.3333333333335</v>
      </c>
      <c r="BQ195" s="165">
        <f t="shared" si="558"/>
        <v>3753.3333333333335</v>
      </c>
      <c r="BR195" s="59"/>
      <c r="BS195" s="59"/>
      <c r="BT195" s="59"/>
      <c r="BU195" s="59"/>
      <c r="BV195" s="59" t="str">
        <f t="shared" si="402"/>
        <v>ND</v>
      </c>
      <c r="BW195" s="59" t="str">
        <f t="shared" si="403"/>
        <v>ND</v>
      </c>
      <c r="BX195" s="59" t="str">
        <f t="shared" si="404"/>
        <v>ND</v>
      </c>
      <c r="BY195" s="59" t="str">
        <f t="shared" si="405"/>
        <v>ND</v>
      </c>
      <c r="BZ195" s="59" t="str">
        <f t="shared" si="536"/>
        <v>NA</v>
      </c>
      <c r="CA195" s="59" t="str">
        <f t="shared" si="537"/>
        <v/>
      </c>
      <c r="CB195" s="59" t="str">
        <f t="shared" si="538"/>
        <v>NA</v>
      </c>
      <c r="CC195" s="59" t="str">
        <f t="shared" si="539"/>
        <v/>
      </c>
      <c r="CD195" s="59" t="str">
        <f t="shared" si="540"/>
        <v>NA</v>
      </c>
      <c r="CE195" s="59" t="str">
        <f t="shared" si="541"/>
        <v/>
      </c>
      <c r="CF195" s="59" t="str">
        <f t="shared" si="542"/>
        <v>NA</v>
      </c>
      <c r="CG195" s="59" t="str">
        <f t="shared" ca="1" si="543"/>
        <v>NA</v>
      </c>
      <c r="CH195" s="59" t="str">
        <f t="shared" ca="1" si="544"/>
        <v>NA</v>
      </c>
      <c r="CI195" s="59" t="str">
        <f t="shared" ca="1" si="545"/>
        <v>DE 36 A 45 DIAS</v>
      </c>
      <c r="CJ195" s="59" t="str">
        <f t="shared" ca="1" si="546"/>
        <v>DE 36 A 45 DIAS</v>
      </c>
      <c r="CK195" s="59" t="str">
        <f t="shared" ca="1" si="547"/>
        <v>DE 36 A 45 DIAS</v>
      </c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>
        <f t="shared" ref="DG195:DG258" si="559">IF(CW195="VIGENTE",CM195,0)+IF(CX195="VIGENTE",CN195,0)+IF(CY195="VIGENTE",CO195,0)+IF(CZ195="VIGENTE",CP195,0)+IF(DA195="VIGENTE",CQ195,0)+IF(DB195="VIGENTE",CR195,0)+IF(DC195="VIGENTE",CS195,0)+IF(DD195="VIGENTE",CT195,0)+IF(DE195="VIGENTE",CU195,0)+IF(DF195="VIGENTE",CV195,0)</f>
        <v>0</v>
      </c>
      <c r="DH195" s="8">
        <f t="shared" ref="DH195:DH258" si="560">IF(CW195="PAGADO",CM195,0)+IF(CX195="PAGADO",CN195,0)+IF(CY195="PAGADO",CO195,0)+IF(CZ195="PAGADO",CP195,0)+IF(DA195="PAGADO",CQ195,0)+IF(DB195="PAGADO",CR195,0)+IF(DC195="PAGADO",CS195,0)+IF(DD195="PAGADO",CT195,0)+IF(DE195="PAGADO",CU195,0)+IF(DF195="PAGADO",CV195,0)</f>
        <v>0</v>
      </c>
      <c r="DI195" s="8">
        <f t="shared" ref="DI195:DI258" si="561">IF(CW195="VENCIDO",CM195,0)+IF(CX195="VENCIDO",CN195,0)+IF(CY195="VENCIDO",CO195,0)+IF(CZ195="VENCIDO",CP195,0)+IF(DA195="VENCIDO",CQ195,0)+IF(DB195="VENCIDO",CR195,0)+IF(DC195="VENCIDO",CS195,0)+IF(DD195="VENCIDO",CT195,0)+IF(DE195="VENCIDO",CU195,0)+IF(DF195="VENCIDO",CV195,0)</f>
        <v>0</v>
      </c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59" t="str">
        <f t="shared" ref="DT195:DT234" si="562">IF(DJ195=0,"NA","SEM "&amp;WEEKNUM(DJ195))</f>
        <v>NA</v>
      </c>
      <c r="DU195" s="59" t="str">
        <f t="shared" ref="DU195:DU234" si="563">IF(DK195=0,"NA","SEM "&amp;WEEKNUM(DK195))</f>
        <v>NA</v>
      </c>
      <c r="DV195" s="59" t="str">
        <f t="shared" ref="DV195:DV234" si="564">IF(DL195=0,"NA","SEM "&amp;WEEKNUM(DL195))</f>
        <v>NA</v>
      </c>
      <c r="DW195" s="59" t="str">
        <f t="shared" ref="DW195:DW234" si="565">IF(DM195=0,"NA","SEM "&amp;WEEKNUM(DM195))</f>
        <v>NA</v>
      </c>
      <c r="DX195" s="59" t="str">
        <f t="shared" ref="DX195:DX234" si="566">IF(DN195=0,"NA","SEM "&amp;WEEKNUM(DN195))</f>
        <v>NA</v>
      </c>
      <c r="DY195" s="59" t="str">
        <f t="shared" ref="DY195:DY234" si="567">IF(DO195=0,"NA","SEM "&amp;WEEKNUM(DO195))</f>
        <v>NA</v>
      </c>
      <c r="DZ195" s="59" t="str">
        <f t="shared" ref="DZ195:DZ234" si="568">IF(DP195=0,"NA","SEM "&amp;WEEKNUM(DP195))</f>
        <v>NA</v>
      </c>
      <c r="EA195" s="59" t="str">
        <f t="shared" ref="EA195:EA234" si="569">IF(DQ195=0,"NA","SEM "&amp;WEEKNUM(DQ195))</f>
        <v>NA</v>
      </c>
      <c r="EB195" s="59" t="str">
        <f t="shared" ref="EB195:EB234" si="570">IF(DR195=0,"NA","SEM "&amp;WEEKNUM(DR195))</f>
        <v>NA</v>
      </c>
      <c r="EC195" s="59" t="str">
        <f t="shared" ref="EC195:EC234" si="571">IF(DS195=0,"NA","SEM "&amp;WEEKNUM(DS195))</f>
        <v>NA</v>
      </c>
      <c r="ED195" s="59" t="str">
        <f t="shared" ref="ED195:ED234" si="572">IF(DJ195=0,"",IF(MONTH(DJ195)=1,"ENE","")&amp;IF(MONTH(DJ195)=2,"FEB","")&amp;IF(MONTH(DJ195)=3,"MAR","")&amp;IF(MONTH(DJ195)=4,"ABR","")&amp;IF(MONTH(DJ195)=5,"MAY","")&amp;IF(MONTH(DJ195)=6,"JUN","")&amp;IF(MONTH(DJ195)=7,"JUL","")&amp;IF(MONTH(DJ195)=8,"AGO","")&amp;IF(MONTH(DJ195)=9,"SEP","")&amp;IF(MONTH(DJ195)=10,"OCT","")&amp;IF(MONTH(DJ195)=11,"NOV","")&amp;IF(MONTH(DJ195)=12,"DIC",""))</f>
        <v/>
      </c>
      <c r="EE195" s="59" t="str">
        <f t="shared" ref="EE195:EE234" si="573">IF(DK195=0,"",IF(MONTH(DK195)=1,"ENE","")&amp;IF(MONTH(DK195)=2,"FEB","")&amp;IF(MONTH(DK195)=3,"MAR","")&amp;IF(MONTH(DK195)=4,"ABR","")&amp;IF(MONTH(DK195)=5,"MAY","")&amp;IF(MONTH(DK195)=6,"JUN","")&amp;IF(MONTH(DK195)=7,"JUL","")&amp;IF(MONTH(DK195)=8,"AGO","")&amp;IF(MONTH(DK195)=9,"SEP","")&amp;IF(MONTH(DK195)=10,"OCT","")&amp;IF(MONTH(DK195)=11,"NOV","")&amp;IF(MONTH(DK195)=12,"DIC",""))</f>
        <v/>
      </c>
      <c r="EF195" s="59" t="str">
        <f t="shared" ref="EF195:EF234" si="574">IF(DL195=0,"",IF(MONTH(DL195)=1,"ENE","")&amp;IF(MONTH(DL195)=2,"FEB","")&amp;IF(MONTH(DL195)=3,"MAR","")&amp;IF(MONTH(DL195)=4,"ABR","")&amp;IF(MONTH(DL195)=5,"MAY","")&amp;IF(MONTH(DL195)=6,"JUN","")&amp;IF(MONTH(DL195)=7,"JUL","")&amp;IF(MONTH(DL195)=8,"AGO","")&amp;IF(MONTH(DL195)=9,"SEP","")&amp;IF(MONTH(DL195)=10,"OCT","")&amp;IF(MONTH(DL195)=11,"NOV","")&amp;IF(MONTH(DL195)=12,"DIC",""))</f>
        <v/>
      </c>
      <c r="EG195" s="59" t="str">
        <f t="shared" ref="EG195:EG234" si="575">IF(DM195=0,"",IF(MONTH(DM195)=1,"ENE","")&amp;IF(MONTH(DM195)=2,"FEB","")&amp;IF(MONTH(DM195)=3,"MAR","")&amp;IF(MONTH(DM195)=4,"ABR","")&amp;IF(MONTH(DM195)=5,"MAY","")&amp;IF(MONTH(DM195)=6,"JUN","")&amp;IF(MONTH(DM195)=7,"JUL","")&amp;IF(MONTH(DM195)=8,"AGO","")&amp;IF(MONTH(DM195)=9,"SEP","")&amp;IF(MONTH(DM195)=10,"OCT","")&amp;IF(MONTH(DM195)=11,"NOV","")&amp;IF(MONTH(DM195)=12,"DIC",""))</f>
        <v/>
      </c>
      <c r="EH195" s="59" t="str">
        <f t="shared" ref="EH195:EH234" si="576">IF(DN195=0,"",IF(MONTH(DN195)=1,"ENE","")&amp;IF(MONTH(DN195)=2,"FEB","")&amp;IF(MONTH(DN195)=3,"MAR","")&amp;IF(MONTH(DN195)=4,"ABR","")&amp;IF(MONTH(DN195)=5,"MAY","")&amp;IF(MONTH(DN195)=6,"JUN","")&amp;IF(MONTH(DN195)=7,"JUL","")&amp;IF(MONTH(DN195)=8,"AGO","")&amp;IF(MONTH(DN195)=9,"SEP","")&amp;IF(MONTH(DN195)=10,"OCT","")&amp;IF(MONTH(DN195)=11,"NOV","")&amp;IF(MONTH(DN195)=12,"DIC",""))</f>
        <v/>
      </c>
      <c r="EI195" s="59" t="str">
        <f t="shared" ref="EI195:EI234" si="577">IF(DO195=0,"",IF(MONTH(DO195)=1,"ENE","")&amp;IF(MONTH(DO195)=2,"FEB","")&amp;IF(MONTH(DO195)=3,"MAR","")&amp;IF(MONTH(DO195)=4,"ABR","")&amp;IF(MONTH(DO195)=5,"MAY","")&amp;IF(MONTH(DO195)=6,"JUN","")&amp;IF(MONTH(DO195)=7,"JUL","")&amp;IF(MONTH(DO195)=8,"AGO","")&amp;IF(MONTH(DO195)=9,"SEP","")&amp;IF(MONTH(DO195)=10,"OCT","")&amp;IF(MONTH(DO195)=11,"NOV","")&amp;IF(MONTH(DO195)=12,"DIC",""))</f>
        <v/>
      </c>
      <c r="EJ195" s="59" t="str">
        <f t="shared" ref="EJ195:EJ234" si="578">IF(DP195=0,"",IF(MONTH(DP195)=1,"ENE","")&amp;IF(MONTH(DP195)=2,"FEB","")&amp;IF(MONTH(DP195)=3,"MAR","")&amp;IF(MONTH(DP195)=4,"ABR","")&amp;IF(MONTH(DP195)=5,"MAY","")&amp;IF(MONTH(DP195)=6,"JUN","")&amp;IF(MONTH(DP195)=7,"JUL","")&amp;IF(MONTH(DP195)=8,"AGO","")&amp;IF(MONTH(DP195)=9,"SEP","")&amp;IF(MONTH(DP195)=10,"OCT","")&amp;IF(MONTH(DP195)=11,"NOV","")&amp;IF(MONTH(DP195)=12,"DIC",""))</f>
        <v/>
      </c>
      <c r="EK195" s="59" t="str">
        <f t="shared" ref="EK195:EK234" si="579">IF(DQ195=0,"",IF(MONTH(DQ195)=1,"ENE","")&amp;IF(MONTH(DQ195)=2,"FEB","")&amp;IF(MONTH(DQ195)=3,"MAR","")&amp;IF(MONTH(DQ195)=4,"ABR","")&amp;IF(MONTH(DQ195)=5,"MAY","")&amp;IF(MONTH(DQ195)=6,"JUN","")&amp;IF(MONTH(DQ195)=7,"JUL","")&amp;IF(MONTH(DQ195)=8,"AGO","")&amp;IF(MONTH(DQ195)=9,"SEP","")&amp;IF(MONTH(DQ195)=10,"OCT","")&amp;IF(MONTH(DQ195)=11,"NOV","")&amp;IF(MONTH(DQ195)=12,"DIC",""))</f>
        <v/>
      </c>
      <c r="EL195" s="59" t="str">
        <f t="shared" ref="EL195:EL234" si="580">IF(DR195=0,"",IF(MONTH(DR195)=1,"ENE","")&amp;IF(MONTH(DR195)=2,"FEB","")&amp;IF(MONTH(DR195)=3,"MAR","")&amp;IF(MONTH(DR195)=4,"ABR","")&amp;IF(MONTH(DR195)=5,"MAY","")&amp;IF(MONTH(DR195)=6,"JUN","")&amp;IF(MONTH(DR195)=7,"JUL","")&amp;IF(MONTH(DR195)=8,"AGO","")&amp;IF(MONTH(DR195)=9,"SEP","")&amp;IF(MONTH(DR195)=10,"OCT","")&amp;IF(MONTH(DR195)=11,"NOV","")&amp;IF(MONTH(DR195)=12,"DIC",""))</f>
        <v/>
      </c>
      <c r="EM195" s="59" t="str">
        <f t="shared" ref="EM195:EM234" si="581">IF(DS195=0,"",IF(MONTH(DS195)=1,"ENE","")&amp;IF(MONTH(DS195)=2,"FEB","")&amp;IF(MONTH(DS195)=3,"MAR","")&amp;IF(MONTH(DS195)=4,"ABR","")&amp;IF(MONTH(DS195)=5,"MAY","")&amp;IF(MONTH(DS195)=6,"JUN","")&amp;IF(MONTH(DS195)=7,"JUL","")&amp;IF(MONTH(DS195)=8,"AGO","")&amp;IF(MONTH(DS195)=9,"SEP","")&amp;IF(MONTH(DS195)=10,"OCT","")&amp;IF(MONTH(DS195)=11,"NOV","")&amp;IF(MONTH(DS195)=12,"DIC",""))</f>
        <v/>
      </c>
      <c r="EN195" s="59" t="str">
        <f t="shared" ref="EN195:EN234" si="582">IF(DJ195=0,"",YEAR(DJ195))</f>
        <v/>
      </c>
      <c r="EO195" s="59" t="str">
        <f t="shared" ref="EO195:EO234" si="583">IF(DK195=0,"",YEAR(DK195))</f>
        <v/>
      </c>
      <c r="EP195" s="59" t="str">
        <f t="shared" ref="EP195:EP234" si="584">IF(DL195=0,"",YEAR(DL195))</f>
        <v/>
      </c>
      <c r="EQ195" s="59" t="str">
        <f t="shared" ref="EQ195:EQ234" si="585">IF(DM195=0,"",YEAR(DM195))</f>
        <v/>
      </c>
      <c r="ER195" s="59" t="str">
        <f t="shared" ref="ER195:ER234" si="586">IF(DN195=0,"",YEAR(DN195))</f>
        <v/>
      </c>
      <c r="ES195" s="59" t="str">
        <f t="shared" ref="ES195:ES234" si="587">IF(DO195=0,"",YEAR(DO195))</f>
        <v/>
      </c>
      <c r="ET195" s="59" t="str">
        <f t="shared" ref="ET195:ET234" si="588">IF(DP195=0,"",YEAR(DP195))</f>
        <v/>
      </c>
      <c r="EU195" s="59" t="str">
        <f t="shared" ref="EU195:EU234" si="589">IF(DQ195=0,"",YEAR(DQ195))</f>
        <v/>
      </c>
      <c r="EV195" s="59" t="str">
        <f t="shared" ref="EV195:EV234" si="590">IF(DR195=0,"",YEAR(DR195))</f>
        <v/>
      </c>
      <c r="EW195" s="59" t="str">
        <f t="shared" ref="EW195:EW234" si="591">IF(DS195=0,"",YEAR(DS195))</f>
        <v/>
      </c>
      <c r="EX195" s="56">
        <f t="shared" si="548"/>
        <v>1126000</v>
      </c>
    </row>
    <row r="196" spans="1:154" x14ac:dyDescent="0.25">
      <c r="A196" s="2">
        <f t="shared" ref="A196:A234" si="592">A195+1</f>
        <v>195</v>
      </c>
      <c r="B196" s="2" t="s">
        <v>6</v>
      </c>
      <c r="C196" s="2" t="str">
        <f t="shared" si="549"/>
        <v>030401</v>
      </c>
      <c r="D196" s="2">
        <v>3</v>
      </c>
      <c r="E196" s="2">
        <v>4</v>
      </c>
      <c r="F196" s="2">
        <v>1</v>
      </c>
      <c r="G196" s="11" t="s">
        <v>21</v>
      </c>
      <c r="H196" s="4"/>
      <c r="I196" s="42" t="s">
        <v>58</v>
      </c>
      <c r="J196" s="9">
        <v>115.05200000000001</v>
      </c>
      <c r="K196" s="9"/>
      <c r="L196" s="10" t="s">
        <v>8</v>
      </c>
      <c r="M196" s="22" t="s">
        <v>176</v>
      </c>
      <c r="N196" s="7">
        <f t="shared" ref="N196:N234" si="593">IF(L196="AKUA",1126000+((J196-80)*3800),1135000+((J196-80)*3800))</f>
        <v>1268197.6000000001</v>
      </c>
      <c r="O196" s="8">
        <v>234</v>
      </c>
      <c r="P196" s="25">
        <v>41182</v>
      </c>
      <c r="Q196" s="8" t="str">
        <f t="shared" si="550"/>
        <v>2DA-SEP</v>
      </c>
      <c r="R196" s="26">
        <v>0.3</v>
      </c>
      <c r="S196" s="41" t="s">
        <v>34</v>
      </c>
      <c r="T196" s="8" t="s">
        <v>352</v>
      </c>
      <c r="U196" s="8"/>
      <c r="V196" s="7">
        <v>634098.80000000005</v>
      </c>
      <c r="W196" s="7">
        <f t="shared" si="512"/>
        <v>0</v>
      </c>
      <c r="X196" s="7">
        <f t="shared" si="551"/>
        <v>634098.80000000005</v>
      </c>
      <c r="Y196" s="7">
        <v>0</v>
      </c>
      <c r="Z196" s="7">
        <f t="shared" si="552"/>
        <v>0</v>
      </c>
      <c r="AA196" s="148" t="str">
        <f t="shared" si="553"/>
        <v>5%</v>
      </c>
      <c r="AB196" s="148">
        <f t="shared" si="554"/>
        <v>0.95</v>
      </c>
      <c r="AC196" s="25">
        <f ca="1">TODAY()-45</f>
        <v>41077</v>
      </c>
      <c r="AD196" s="25">
        <f t="shared" ref="AD196:AE196" ca="1" si="594">TODAY()-45</f>
        <v>41077</v>
      </c>
      <c r="AE196" s="25">
        <f t="shared" ca="1" si="594"/>
        <v>41077</v>
      </c>
      <c r="AF196" s="8"/>
      <c r="AG196" s="59" t="str">
        <f t="shared" ca="1" si="556"/>
        <v>NA</v>
      </c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59" t="str">
        <f t="shared" si="409"/>
        <v>NA</v>
      </c>
      <c r="AS196" s="59" t="str">
        <f t="shared" si="410"/>
        <v/>
      </c>
      <c r="AT196" s="59"/>
      <c r="AU196" s="59" t="str">
        <f t="shared" si="534"/>
        <v>ND</v>
      </c>
      <c r="AV196" s="66"/>
      <c r="AW196" s="66"/>
      <c r="AX196" s="66"/>
      <c r="AY196" s="66"/>
      <c r="AZ196" s="8"/>
      <c r="BA196" s="8" t="s">
        <v>37</v>
      </c>
      <c r="BB196" s="8"/>
      <c r="BC196" s="8"/>
      <c r="BD196" s="8"/>
      <c r="BE196" s="8"/>
      <c r="BF196" s="8"/>
      <c r="BG196" s="8"/>
      <c r="BH196" s="8"/>
      <c r="BI196" s="8"/>
      <c r="BJ196" s="8"/>
      <c r="BK196" s="59"/>
      <c r="BL196" s="59"/>
      <c r="BM196" s="59"/>
      <c r="BN196" s="164">
        <v>0.01</v>
      </c>
      <c r="BO196" s="165">
        <f t="shared" si="557"/>
        <v>4227.3253333333332</v>
      </c>
      <c r="BP196" s="165">
        <f t="shared" ref="BP196:BQ196" si="595">BO196</f>
        <v>4227.3253333333332</v>
      </c>
      <c r="BQ196" s="165">
        <f t="shared" si="595"/>
        <v>4227.3253333333332</v>
      </c>
      <c r="BR196" s="59"/>
      <c r="BS196" s="59"/>
      <c r="BT196" s="59"/>
      <c r="BU196" s="59"/>
      <c r="BV196" s="59" t="str">
        <f t="shared" si="402"/>
        <v>ND</v>
      </c>
      <c r="BW196" s="59" t="str">
        <f t="shared" si="403"/>
        <v>ND</v>
      </c>
      <c r="BX196" s="59" t="str">
        <f t="shared" si="404"/>
        <v>ND</v>
      </c>
      <c r="BY196" s="59" t="str">
        <f t="shared" si="405"/>
        <v>ND</v>
      </c>
      <c r="BZ196" s="59" t="str">
        <f t="shared" si="536"/>
        <v>NA</v>
      </c>
      <c r="CA196" s="59" t="str">
        <f t="shared" si="537"/>
        <v/>
      </c>
      <c r="CB196" s="59" t="str">
        <f t="shared" si="538"/>
        <v>NA</v>
      </c>
      <c r="CC196" s="59" t="str">
        <f t="shared" si="539"/>
        <v/>
      </c>
      <c r="CD196" s="59" t="str">
        <f t="shared" si="540"/>
        <v>NA</v>
      </c>
      <c r="CE196" s="59" t="str">
        <f t="shared" si="541"/>
        <v/>
      </c>
      <c r="CF196" s="59" t="str">
        <f t="shared" si="542"/>
        <v>NA</v>
      </c>
      <c r="CG196" s="59" t="str">
        <f t="shared" ca="1" si="543"/>
        <v>NA</v>
      </c>
      <c r="CH196" s="59" t="str">
        <f t="shared" ca="1" si="544"/>
        <v>NA</v>
      </c>
      <c r="CI196" s="59" t="str">
        <f t="shared" ca="1" si="545"/>
        <v>DE 36 A 45 DIAS</v>
      </c>
      <c r="CJ196" s="59" t="str">
        <f t="shared" ca="1" si="546"/>
        <v>DE 36 A 45 DIAS</v>
      </c>
      <c r="CK196" s="59" t="str">
        <f t="shared" ca="1" si="547"/>
        <v>DE 36 A 45 DIAS</v>
      </c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>
        <f t="shared" si="559"/>
        <v>0</v>
      </c>
      <c r="DH196" s="8">
        <f t="shared" si="560"/>
        <v>0</v>
      </c>
      <c r="DI196" s="8">
        <f t="shared" si="561"/>
        <v>0</v>
      </c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59" t="str">
        <f t="shared" si="562"/>
        <v>NA</v>
      </c>
      <c r="DU196" s="59" t="str">
        <f t="shared" si="563"/>
        <v>NA</v>
      </c>
      <c r="DV196" s="59" t="str">
        <f t="shared" si="564"/>
        <v>NA</v>
      </c>
      <c r="DW196" s="59" t="str">
        <f t="shared" si="565"/>
        <v>NA</v>
      </c>
      <c r="DX196" s="59" t="str">
        <f t="shared" si="566"/>
        <v>NA</v>
      </c>
      <c r="DY196" s="59" t="str">
        <f t="shared" si="567"/>
        <v>NA</v>
      </c>
      <c r="DZ196" s="59" t="str">
        <f t="shared" si="568"/>
        <v>NA</v>
      </c>
      <c r="EA196" s="59" t="str">
        <f t="shared" si="569"/>
        <v>NA</v>
      </c>
      <c r="EB196" s="59" t="str">
        <f t="shared" si="570"/>
        <v>NA</v>
      </c>
      <c r="EC196" s="59" t="str">
        <f t="shared" si="571"/>
        <v>NA</v>
      </c>
      <c r="ED196" s="59" t="str">
        <f t="shared" si="572"/>
        <v/>
      </c>
      <c r="EE196" s="59" t="str">
        <f t="shared" si="573"/>
        <v/>
      </c>
      <c r="EF196" s="59" t="str">
        <f t="shared" si="574"/>
        <v/>
      </c>
      <c r="EG196" s="59" t="str">
        <f t="shared" si="575"/>
        <v/>
      </c>
      <c r="EH196" s="59" t="str">
        <f t="shared" si="576"/>
        <v/>
      </c>
      <c r="EI196" s="59" t="str">
        <f t="shared" si="577"/>
        <v/>
      </c>
      <c r="EJ196" s="59" t="str">
        <f t="shared" si="578"/>
        <v/>
      </c>
      <c r="EK196" s="59" t="str">
        <f t="shared" si="579"/>
        <v/>
      </c>
      <c r="EL196" s="59" t="str">
        <f t="shared" si="580"/>
        <v/>
      </c>
      <c r="EM196" s="59" t="str">
        <f t="shared" si="581"/>
        <v/>
      </c>
      <c r="EN196" s="59" t="str">
        <f t="shared" si="582"/>
        <v/>
      </c>
      <c r="EO196" s="59" t="str">
        <f t="shared" si="583"/>
        <v/>
      </c>
      <c r="EP196" s="59" t="str">
        <f t="shared" si="584"/>
        <v/>
      </c>
      <c r="EQ196" s="59" t="str">
        <f t="shared" si="585"/>
        <v/>
      </c>
      <c r="ER196" s="59" t="str">
        <f t="shared" si="586"/>
        <v/>
      </c>
      <c r="ES196" s="59" t="str">
        <f t="shared" si="587"/>
        <v/>
      </c>
      <c r="ET196" s="59" t="str">
        <f t="shared" si="588"/>
        <v/>
      </c>
      <c r="EU196" s="59" t="str">
        <f t="shared" si="589"/>
        <v/>
      </c>
      <c r="EV196" s="59" t="str">
        <f t="shared" si="590"/>
        <v/>
      </c>
      <c r="EW196" s="59" t="str">
        <f t="shared" si="591"/>
        <v/>
      </c>
      <c r="EX196" s="56">
        <f t="shared" si="548"/>
        <v>1268197.6000000001</v>
      </c>
    </row>
    <row r="197" spans="1:154" x14ac:dyDescent="0.25">
      <c r="A197" s="2">
        <f t="shared" si="592"/>
        <v>196</v>
      </c>
      <c r="B197" s="2" t="s">
        <v>6</v>
      </c>
      <c r="C197" s="2" t="str">
        <f t="shared" si="549"/>
        <v>030402</v>
      </c>
      <c r="D197" s="2">
        <v>3</v>
      </c>
      <c r="E197" s="2">
        <v>4</v>
      </c>
      <c r="F197" s="2">
        <v>2</v>
      </c>
      <c r="G197" s="11" t="s">
        <v>21</v>
      </c>
      <c r="H197" s="4"/>
      <c r="I197" s="42" t="s">
        <v>58</v>
      </c>
      <c r="J197" s="9">
        <v>80</v>
      </c>
      <c r="K197" s="5"/>
      <c r="L197" s="6" t="s">
        <v>306</v>
      </c>
      <c r="M197" s="22" t="s">
        <v>176</v>
      </c>
      <c r="N197" s="7">
        <f t="shared" si="593"/>
        <v>1126000</v>
      </c>
      <c r="O197" s="8">
        <v>235</v>
      </c>
      <c r="P197" s="25">
        <v>41182</v>
      </c>
      <c r="Q197" s="8" t="str">
        <f t="shared" si="550"/>
        <v>2DA-SEP</v>
      </c>
      <c r="R197" s="26">
        <v>0.3</v>
      </c>
      <c r="S197" s="41" t="s">
        <v>34</v>
      </c>
      <c r="T197" s="8" t="s">
        <v>352</v>
      </c>
      <c r="U197" s="8"/>
      <c r="V197" s="7">
        <v>563000</v>
      </c>
      <c r="W197" s="7">
        <f t="shared" si="512"/>
        <v>0</v>
      </c>
      <c r="X197" s="7">
        <f t="shared" si="551"/>
        <v>563000</v>
      </c>
      <c r="Y197" s="7">
        <v>0</v>
      </c>
      <c r="Z197" s="7">
        <f t="shared" si="552"/>
        <v>0</v>
      </c>
      <c r="AA197" s="148" t="str">
        <f t="shared" si="553"/>
        <v>5%</v>
      </c>
      <c r="AB197" s="148">
        <f t="shared" si="554"/>
        <v>0.95</v>
      </c>
      <c r="AC197" s="25">
        <f ca="1">TODAY()-50</f>
        <v>41072</v>
      </c>
      <c r="AD197" s="25">
        <f t="shared" ref="AD197:AE197" ca="1" si="596">TODAY()-50</f>
        <v>41072</v>
      </c>
      <c r="AE197" s="25">
        <f t="shared" ca="1" si="596"/>
        <v>41072</v>
      </c>
      <c r="AF197" s="8"/>
      <c r="AG197" s="59" t="str">
        <f t="shared" ca="1" si="556"/>
        <v>NA</v>
      </c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59" t="str">
        <f t="shared" si="409"/>
        <v>NA</v>
      </c>
      <c r="AS197" s="59" t="str">
        <f t="shared" si="410"/>
        <v/>
      </c>
      <c r="AT197" s="59"/>
      <c r="AU197" s="59" t="str">
        <f t="shared" si="534"/>
        <v>ND</v>
      </c>
      <c r="AV197" s="66"/>
      <c r="AW197" s="66"/>
      <c r="AX197" s="66"/>
      <c r="AY197" s="66"/>
      <c r="AZ197" s="8"/>
      <c r="BA197" s="8" t="s">
        <v>37</v>
      </c>
      <c r="BB197" s="8"/>
      <c r="BC197" s="8"/>
      <c r="BD197" s="8"/>
      <c r="BE197" s="8"/>
      <c r="BF197" s="8"/>
      <c r="BG197" s="8"/>
      <c r="BH197" s="8"/>
      <c r="BI197" s="8"/>
      <c r="BJ197" s="8"/>
      <c r="BK197" s="59"/>
      <c r="BL197" s="59"/>
      <c r="BM197" s="59"/>
      <c r="BN197" s="164">
        <v>0.01</v>
      </c>
      <c r="BO197" s="165">
        <f t="shared" si="557"/>
        <v>3753.3333333333335</v>
      </c>
      <c r="BP197" s="165">
        <f t="shared" ref="BP197:BQ197" si="597">BO197</f>
        <v>3753.3333333333335</v>
      </c>
      <c r="BQ197" s="165">
        <f t="shared" si="597"/>
        <v>3753.3333333333335</v>
      </c>
      <c r="BR197" s="59"/>
      <c r="BS197" s="59"/>
      <c r="BT197" s="59"/>
      <c r="BU197" s="59"/>
      <c r="BV197" s="59" t="str">
        <f t="shared" ref="BV197:BV234" si="598">IF(BR197=0,"ND",IF(DAY(BR197)&lt;=13,"1ERA-",IF(DAY(BR197)&gt;13,"2DA-",""))&amp;(IF(MONTH(BR197)=1,"ENE","")&amp;IF(MONTH(BR197)=2,"FEB","")&amp;IF(MONTH(BR197)=3,"MAR","")&amp;IF(MONTH(BR197)=4,"ABR","")&amp;IF(MONTH(BR197)=5,"MAY","")&amp;IF(MONTH(BR197)=6,"JUN","")&amp;IF(MONTH(BR197)=7,"JUL","")&amp;IF(MONTH(BR197)=8,"AGO","")&amp;IF(MONTH(BR197)=9,"SEP","")&amp;IF(MONTH(BR197)=10,"OCT","")&amp;IF(MONTH(BR197)=11,"NOV","")&amp;IF(MONTH(BR197)=12,"DIC",""))&amp;"-"&amp;YEAR(BR197))</f>
        <v>ND</v>
      </c>
      <c r="BW197" s="59" t="str">
        <f t="shared" ref="BW197:BW234" si="599">IF(BS197=0,"ND",IF(DAY(BS197)&lt;=13,"1ERA-",IF(DAY(BS197)&gt;13,"2DA-",""))&amp;(IF(MONTH(BS197)=1,"ENE","")&amp;IF(MONTH(BS197)=2,"FEB","")&amp;IF(MONTH(BS197)=3,"MAR","")&amp;IF(MONTH(BS197)=4,"ABR","")&amp;IF(MONTH(BS197)=5,"MAY","")&amp;IF(MONTH(BS197)=6,"JUN","")&amp;IF(MONTH(BS197)=7,"JUL","")&amp;IF(MONTH(BS197)=8,"AGO","")&amp;IF(MONTH(BS197)=9,"SEP","")&amp;IF(MONTH(BS197)=10,"OCT","")&amp;IF(MONTH(BS197)=11,"NOV","")&amp;IF(MONTH(BS197)=12,"DIC",""))&amp;"-"&amp;YEAR(BS197))</f>
        <v>ND</v>
      </c>
      <c r="BX197" s="59" t="str">
        <f t="shared" ref="BX197:BX234" si="600">IF(BT197=0,"ND",IF(DAY(BT197)&lt;=13,"1ERA-",IF(DAY(BT197)&gt;13,"2DA-",""))&amp;(IF(MONTH(BT197)=1,"ENE","")&amp;IF(MONTH(BT197)=2,"FEB","")&amp;IF(MONTH(BT197)=3,"MAR","")&amp;IF(MONTH(BT197)=4,"ABR","")&amp;IF(MONTH(BT197)=5,"MAY","")&amp;IF(MONTH(BT197)=6,"JUN","")&amp;IF(MONTH(BT197)=7,"JUL","")&amp;IF(MONTH(BT197)=8,"AGO","")&amp;IF(MONTH(BT197)=9,"SEP","")&amp;IF(MONTH(BT197)=10,"OCT","")&amp;IF(MONTH(BT197)=11,"NOV","")&amp;IF(MONTH(BT197)=12,"DIC",""))&amp;"-"&amp;YEAR(BT197))</f>
        <v>ND</v>
      </c>
      <c r="BY197" s="59" t="str">
        <f t="shared" ref="BY197:BY234" si="601">IF(BU197=0,"ND",IF(DAY(BU197)&lt;=13,"1ERA-",IF(DAY(BU197)&gt;13,"2DA-",""))&amp;(IF(MONTH(BU197)=1,"ENE","")&amp;IF(MONTH(BU197)=2,"FEB","")&amp;IF(MONTH(BU197)=3,"MAR","")&amp;IF(MONTH(BU197)=4,"ABR","")&amp;IF(MONTH(BU197)=5,"MAY","")&amp;IF(MONTH(BU197)=6,"JUN","")&amp;IF(MONTH(BU197)=7,"JUL","")&amp;IF(MONTH(BU197)=8,"AGO","")&amp;IF(MONTH(BU197)=9,"SEP","")&amp;IF(MONTH(BU197)=10,"OCT","")&amp;IF(MONTH(BU197)=11,"NOV","")&amp;IF(MONTH(BU197)=12,"DIC",""))&amp;"-"&amp;YEAR(BU197))</f>
        <v>ND</v>
      </c>
      <c r="BZ197" s="59" t="str">
        <f t="shared" si="536"/>
        <v>NA</v>
      </c>
      <c r="CA197" s="59" t="str">
        <f t="shared" si="537"/>
        <v/>
      </c>
      <c r="CB197" s="59" t="str">
        <f t="shared" si="538"/>
        <v>NA</v>
      </c>
      <c r="CC197" s="59" t="str">
        <f t="shared" si="539"/>
        <v/>
      </c>
      <c r="CD197" s="59" t="str">
        <f t="shared" si="540"/>
        <v>NA</v>
      </c>
      <c r="CE197" s="59" t="str">
        <f t="shared" si="541"/>
        <v/>
      </c>
      <c r="CF197" s="59" t="str">
        <f t="shared" si="542"/>
        <v>NA</v>
      </c>
      <c r="CG197" s="59" t="str">
        <f t="shared" ca="1" si="543"/>
        <v>NA</v>
      </c>
      <c r="CH197" s="59" t="str">
        <f t="shared" ca="1" si="544"/>
        <v>NA</v>
      </c>
      <c r="CI197" s="59" t="str">
        <f t="shared" ca="1" si="545"/>
        <v>MAYOR A 45 DIAS</v>
      </c>
      <c r="CJ197" s="59" t="str">
        <f t="shared" ca="1" si="546"/>
        <v>MAYOR A 45 DIAS</v>
      </c>
      <c r="CK197" s="59" t="str">
        <f t="shared" ca="1" si="547"/>
        <v>MAYOR A 45 DIAS</v>
      </c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>
        <f t="shared" si="559"/>
        <v>0</v>
      </c>
      <c r="DH197" s="8">
        <f t="shared" si="560"/>
        <v>0</v>
      </c>
      <c r="DI197" s="8">
        <f t="shared" si="561"/>
        <v>0</v>
      </c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59" t="str">
        <f t="shared" si="562"/>
        <v>NA</v>
      </c>
      <c r="DU197" s="59" t="str">
        <f t="shared" si="563"/>
        <v>NA</v>
      </c>
      <c r="DV197" s="59" t="str">
        <f t="shared" si="564"/>
        <v>NA</v>
      </c>
      <c r="DW197" s="59" t="str">
        <f t="shared" si="565"/>
        <v>NA</v>
      </c>
      <c r="DX197" s="59" t="str">
        <f t="shared" si="566"/>
        <v>NA</v>
      </c>
      <c r="DY197" s="59" t="str">
        <f t="shared" si="567"/>
        <v>NA</v>
      </c>
      <c r="DZ197" s="59" t="str">
        <f t="shared" si="568"/>
        <v>NA</v>
      </c>
      <c r="EA197" s="59" t="str">
        <f t="shared" si="569"/>
        <v>NA</v>
      </c>
      <c r="EB197" s="59" t="str">
        <f t="shared" si="570"/>
        <v>NA</v>
      </c>
      <c r="EC197" s="59" t="str">
        <f t="shared" si="571"/>
        <v>NA</v>
      </c>
      <c r="ED197" s="59" t="str">
        <f t="shared" si="572"/>
        <v/>
      </c>
      <c r="EE197" s="59" t="str">
        <f t="shared" si="573"/>
        <v/>
      </c>
      <c r="EF197" s="59" t="str">
        <f t="shared" si="574"/>
        <v/>
      </c>
      <c r="EG197" s="59" t="str">
        <f t="shared" si="575"/>
        <v/>
      </c>
      <c r="EH197" s="59" t="str">
        <f t="shared" si="576"/>
        <v/>
      </c>
      <c r="EI197" s="59" t="str">
        <f t="shared" si="577"/>
        <v/>
      </c>
      <c r="EJ197" s="59" t="str">
        <f t="shared" si="578"/>
        <v/>
      </c>
      <c r="EK197" s="59" t="str">
        <f t="shared" si="579"/>
        <v/>
      </c>
      <c r="EL197" s="59" t="str">
        <f t="shared" si="580"/>
        <v/>
      </c>
      <c r="EM197" s="59" t="str">
        <f t="shared" si="581"/>
        <v/>
      </c>
      <c r="EN197" s="59" t="str">
        <f t="shared" si="582"/>
        <v/>
      </c>
      <c r="EO197" s="59" t="str">
        <f t="shared" si="583"/>
        <v/>
      </c>
      <c r="EP197" s="59" t="str">
        <f t="shared" si="584"/>
        <v/>
      </c>
      <c r="EQ197" s="59" t="str">
        <f t="shared" si="585"/>
        <v/>
      </c>
      <c r="ER197" s="59" t="str">
        <f t="shared" si="586"/>
        <v/>
      </c>
      <c r="ES197" s="59" t="str">
        <f t="shared" si="587"/>
        <v/>
      </c>
      <c r="ET197" s="59" t="str">
        <f t="shared" si="588"/>
        <v/>
      </c>
      <c r="EU197" s="59" t="str">
        <f t="shared" si="589"/>
        <v/>
      </c>
      <c r="EV197" s="59" t="str">
        <f t="shared" si="590"/>
        <v/>
      </c>
      <c r="EW197" s="59" t="str">
        <f t="shared" si="591"/>
        <v/>
      </c>
      <c r="EX197" s="56">
        <f t="shared" si="548"/>
        <v>1126000</v>
      </c>
    </row>
    <row r="198" spans="1:154" x14ac:dyDescent="0.25">
      <c r="A198" s="2">
        <f t="shared" si="592"/>
        <v>197</v>
      </c>
      <c r="B198" s="2" t="s">
        <v>6</v>
      </c>
      <c r="C198" s="2" t="str">
        <f t="shared" si="549"/>
        <v>030403</v>
      </c>
      <c r="D198" s="2">
        <v>3</v>
      </c>
      <c r="E198" s="2">
        <v>4</v>
      </c>
      <c r="F198" s="2">
        <v>3</v>
      </c>
      <c r="G198" s="11" t="s">
        <v>21</v>
      </c>
      <c r="H198" s="4"/>
      <c r="I198" s="42" t="s">
        <v>58</v>
      </c>
      <c r="J198" s="9">
        <v>80</v>
      </c>
      <c r="K198" s="5"/>
      <c r="L198" s="6" t="s">
        <v>306</v>
      </c>
      <c r="M198" s="22" t="s">
        <v>176</v>
      </c>
      <c r="N198" s="7">
        <f t="shared" si="593"/>
        <v>1126000</v>
      </c>
      <c r="O198" s="8">
        <v>236</v>
      </c>
      <c r="P198" s="25">
        <v>41182</v>
      </c>
      <c r="Q198" s="8" t="str">
        <f t="shared" si="550"/>
        <v>2DA-SEP</v>
      </c>
      <c r="R198" s="26">
        <v>0.3</v>
      </c>
      <c r="S198" s="41" t="s">
        <v>34</v>
      </c>
      <c r="T198" s="8" t="s">
        <v>352</v>
      </c>
      <c r="U198" s="8"/>
      <c r="V198" s="7">
        <v>563000</v>
      </c>
      <c r="W198" s="7">
        <f t="shared" si="512"/>
        <v>0</v>
      </c>
      <c r="X198" s="7">
        <f t="shared" si="551"/>
        <v>563000</v>
      </c>
      <c r="Y198" s="7">
        <v>0</v>
      </c>
      <c r="Z198" s="7">
        <f t="shared" si="552"/>
        <v>0</v>
      </c>
      <c r="AA198" s="148" t="str">
        <f t="shared" si="553"/>
        <v>5%</v>
      </c>
      <c r="AB198" s="148">
        <f t="shared" si="554"/>
        <v>0.95</v>
      </c>
      <c r="AC198" s="25">
        <f ca="1">TODAY()-4</f>
        <v>41118</v>
      </c>
      <c r="AD198" s="25">
        <f t="shared" ref="AD198:AE198" ca="1" si="602">TODAY()-4</f>
        <v>41118</v>
      </c>
      <c r="AE198" s="25">
        <f t="shared" ca="1" si="602"/>
        <v>41118</v>
      </c>
      <c r="AF198" s="8"/>
      <c r="AG198" s="59" t="str">
        <f t="shared" ca="1" si="556"/>
        <v>NA</v>
      </c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59" t="str">
        <f t="shared" si="409"/>
        <v>NA</v>
      </c>
      <c r="AS198" s="59" t="str">
        <f t="shared" si="410"/>
        <v/>
      </c>
      <c r="AT198" s="59"/>
      <c r="AU198" s="59" t="str">
        <f t="shared" si="534"/>
        <v>ND</v>
      </c>
      <c r="AV198" s="66"/>
      <c r="AW198" s="66"/>
      <c r="AX198" s="66"/>
      <c r="AY198" s="66"/>
      <c r="AZ198" s="8"/>
      <c r="BA198" s="8" t="s">
        <v>37</v>
      </c>
      <c r="BB198" s="8"/>
      <c r="BC198" s="8"/>
      <c r="BD198" s="8"/>
      <c r="BE198" s="8"/>
      <c r="BF198" s="8"/>
      <c r="BG198" s="8"/>
      <c r="BH198" s="8"/>
      <c r="BI198" s="8"/>
      <c r="BJ198" s="8"/>
      <c r="BK198" s="59"/>
      <c r="BL198" s="59"/>
      <c r="BM198" s="59"/>
      <c r="BN198" s="164">
        <v>0.01</v>
      </c>
      <c r="BO198" s="165">
        <f t="shared" si="557"/>
        <v>3753.3333333333335</v>
      </c>
      <c r="BP198" s="165">
        <f t="shared" ref="BP198:BQ198" si="603">BO198</f>
        <v>3753.3333333333335</v>
      </c>
      <c r="BQ198" s="165">
        <f t="shared" si="603"/>
        <v>3753.3333333333335</v>
      </c>
      <c r="BR198" s="59"/>
      <c r="BS198" s="59"/>
      <c r="BT198" s="59"/>
      <c r="BU198" s="59"/>
      <c r="BV198" s="59" t="str">
        <f t="shared" si="598"/>
        <v>ND</v>
      </c>
      <c r="BW198" s="59" t="str">
        <f t="shared" si="599"/>
        <v>ND</v>
      </c>
      <c r="BX198" s="59" t="str">
        <f t="shared" si="600"/>
        <v>ND</v>
      </c>
      <c r="BY198" s="59" t="str">
        <f t="shared" si="601"/>
        <v>ND</v>
      </c>
      <c r="BZ198" s="59" t="str">
        <f t="shared" si="536"/>
        <v>NA</v>
      </c>
      <c r="CA198" s="59" t="str">
        <f t="shared" si="537"/>
        <v/>
      </c>
      <c r="CB198" s="59" t="str">
        <f t="shared" si="538"/>
        <v>NA</v>
      </c>
      <c r="CC198" s="59" t="str">
        <f t="shared" si="539"/>
        <v/>
      </c>
      <c r="CD198" s="59" t="str">
        <f t="shared" si="540"/>
        <v>NA</v>
      </c>
      <c r="CE198" s="59" t="str">
        <f t="shared" si="541"/>
        <v/>
      </c>
      <c r="CF198" s="59" t="str">
        <f t="shared" si="542"/>
        <v>NA</v>
      </c>
      <c r="CG198" s="59" t="str">
        <f t="shared" ca="1" si="543"/>
        <v>NA</v>
      </c>
      <c r="CH198" s="59" t="str">
        <f t="shared" ca="1" si="544"/>
        <v>NA</v>
      </c>
      <c r="CI198" s="59" t="str">
        <f t="shared" ca="1" si="545"/>
        <v>HASTA 5 DIAS</v>
      </c>
      <c r="CJ198" s="59" t="str">
        <f t="shared" ca="1" si="546"/>
        <v>HASTA 5 DIAS</v>
      </c>
      <c r="CK198" s="59" t="str">
        <f t="shared" ca="1" si="547"/>
        <v>HASTA 5 DIAS</v>
      </c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>
        <f t="shared" si="559"/>
        <v>0</v>
      </c>
      <c r="DH198" s="8">
        <f t="shared" si="560"/>
        <v>0</v>
      </c>
      <c r="DI198" s="8">
        <f t="shared" si="561"/>
        <v>0</v>
      </c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59" t="str">
        <f t="shared" si="562"/>
        <v>NA</v>
      </c>
      <c r="DU198" s="59" t="str">
        <f t="shared" si="563"/>
        <v>NA</v>
      </c>
      <c r="DV198" s="59" t="str">
        <f t="shared" si="564"/>
        <v>NA</v>
      </c>
      <c r="DW198" s="59" t="str">
        <f t="shared" si="565"/>
        <v>NA</v>
      </c>
      <c r="DX198" s="59" t="str">
        <f t="shared" si="566"/>
        <v>NA</v>
      </c>
      <c r="DY198" s="59" t="str">
        <f t="shared" si="567"/>
        <v>NA</v>
      </c>
      <c r="DZ198" s="59" t="str">
        <f t="shared" si="568"/>
        <v>NA</v>
      </c>
      <c r="EA198" s="59" t="str">
        <f t="shared" si="569"/>
        <v>NA</v>
      </c>
      <c r="EB198" s="59" t="str">
        <f t="shared" si="570"/>
        <v>NA</v>
      </c>
      <c r="EC198" s="59" t="str">
        <f t="shared" si="571"/>
        <v>NA</v>
      </c>
      <c r="ED198" s="59" t="str">
        <f t="shared" si="572"/>
        <v/>
      </c>
      <c r="EE198" s="59" t="str">
        <f t="shared" si="573"/>
        <v/>
      </c>
      <c r="EF198" s="59" t="str">
        <f t="shared" si="574"/>
        <v/>
      </c>
      <c r="EG198" s="59" t="str">
        <f t="shared" si="575"/>
        <v/>
      </c>
      <c r="EH198" s="59" t="str">
        <f t="shared" si="576"/>
        <v/>
      </c>
      <c r="EI198" s="59" t="str">
        <f t="shared" si="577"/>
        <v/>
      </c>
      <c r="EJ198" s="59" t="str">
        <f t="shared" si="578"/>
        <v/>
      </c>
      <c r="EK198" s="59" t="str">
        <f t="shared" si="579"/>
        <v/>
      </c>
      <c r="EL198" s="59" t="str">
        <f t="shared" si="580"/>
        <v/>
      </c>
      <c r="EM198" s="59" t="str">
        <f t="shared" si="581"/>
        <v/>
      </c>
      <c r="EN198" s="59" t="str">
        <f t="shared" si="582"/>
        <v/>
      </c>
      <c r="EO198" s="59" t="str">
        <f t="shared" si="583"/>
        <v/>
      </c>
      <c r="EP198" s="59" t="str">
        <f t="shared" si="584"/>
        <v/>
      </c>
      <c r="EQ198" s="59" t="str">
        <f t="shared" si="585"/>
        <v/>
      </c>
      <c r="ER198" s="59" t="str">
        <f t="shared" si="586"/>
        <v/>
      </c>
      <c r="ES198" s="59" t="str">
        <f t="shared" si="587"/>
        <v/>
      </c>
      <c r="ET198" s="59" t="str">
        <f t="shared" si="588"/>
        <v/>
      </c>
      <c r="EU198" s="59" t="str">
        <f t="shared" si="589"/>
        <v/>
      </c>
      <c r="EV198" s="59" t="str">
        <f t="shared" si="590"/>
        <v/>
      </c>
      <c r="EW198" s="59" t="str">
        <f t="shared" si="591"/>
        <v/>
      </c>
      <c r="EX198" s="56">
        <f t="shared" si="548"/>
        <v>1126000</v>
      </c>
    </row>
    <row r="199" spans="1:154" x14ac:dyDescent="0.25">
      <c r="A199" s="2">
        <f t="shared" si="592"/>
        <v>198</v>
      </c>
      <c r="B199" s="2" t="s">
        <v>6</v>
      </c>
      <c r="C199" s="2" t="str">
        <f t="shared" si="549"/>
        <v>030404</v>
      </c>
      <c r="D199" s="2">
        <v>3</v>
      </c>
      <c r="E199" s="2">
        <v>4</v>
      </c>
      <c r="F199" s="2">
        <v>4</v>
      </c>
      <c r="G199" s="11" t="s">
        <v>21</v>
      </c>
      <c r="H199" s="4"/>
      <c r="I199" s="42" t="s">
        <v>58</v>
      </c>
      <c r="J199" s="9">
        <v>80</v>
      </c>
      <c r="K199" s="9"/>
      <c r="L199" s="10" t="s">
        <v>8</v>
      </c>
      <c r="M199" s="22" t="s">
        <v>176</v>
      </c>
      <c r="N199" s="7">
        <f t="shared" si="593"/>
        <v>1135000</v>
      </c>
      <c r="O199" s="8">
        <v>237</v>
      </c>
      <c r="P199" s="25">
        <v>41182</v>
      </c>
      <c r="Q199" s="8" t="str">
        <f t="shared" si="550"/>
        <v>2DA-SEP</v>
      </c>
      <c r="R199" s="26">
        <v>0.3</v>
      </c>
      <c r="S199" s="41" t="s">
        <v>34</v>
      </c>
      <c r="T199" s="8" t="s">
        <v>352</v>
      </c>
      <c r="U199" s="8"/>
      <c r="V199" s="7">
        <v>567500</v>
      </c>
      <c r="W199" s="7">
        <f t="shared" si="512"/>
        <v>0</v>
      </c>
      <c r="X199" s="7">
        <f t="shared" si="551"/>
        <v>567500</v>
      </c>
      <c r="Y199" s="7">
        <v>0</v>
      </c>
      <c r="Z199" s="7">
        <f t="shared" si="552"/>
        <v>0</v>
      </c>
      <c r="AA199" s="148" t="str">
        <f t="shared" si="553"/>
        <v>5%</v>
      </c>
      <c r="AB199" s="148">
        <f t="shared" si="554"/>
        <v>0.95</v>
      </c>
      <c r="AC199" s="25">
        <f ca="1">TODAY()-9</f>
        <v>41113</v>
      </c>
      <c r="AD199" s="25">
        <f t="shared" ref="AD199:AE199" ca="1" si="604">TODAY()-9</f>
        <v>41113</v>
      </c>
      <c r="AE199" s="25">
        <f t="shared" ca="1" si="604"/>
        <v>41113</v>
      </c>
      <c r="AF199" s="8"/>
      <c r="AG199" s="59" t="str">
        <f t="shared" ca="1" si="556"/>
        <v>NA</v>
      </c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59" t="str">
        <f t="shared" ref="AR199:AR262" si="605">IF(AF199=0,"NA","SEM "&amp;WEEKNUM(AF199))</f>
        <v>NA</v>
      </c>
      <c r="AS199" s="59" t="str">
        <f t="shared" ref="AS199:AS262" si="606">IF(AF199=0,"",IF(MONTH(AF199)=1,"ENE","")&amp;IF(MONTH(AF199)=2,"FEB","")&amp;IF(MONTH(AF199)=3,"MAR","")&amp;IF(MONTH(AF199)=4,"ABR","")&amp;IF(MONTH(AF199)=5,"MAY","")&amp;IF(MONTH(AF199)=6,"JUN","")&amp;IF(MONTH(AF199)=7,"JUL","")&amp;IF(MONTH(AF199)=8,"AGO","")&amp;IF(MONTH(AF199)=9,"SEP","")&amp;IF(MONTH(AF199)=10,"OCT","")&amp;IF(MONTH(AF199)=11,"NOV","")&amp;IF(MONTH(AF199)=12,"DIC",""))</f>
        <v/>
      </c>
      <c r="AT199" s="59"/>
      <c r="AU199" s="59" t="str">
        <f t="shared" si="534"/>
        <v>ND</v>
      </c>
      <c r="AV199" s="66"/>
      <c r="AW199" s="66"/>
      <c r="AX199" s="66"/>
      <c r="AY199" s="66"/>
      <c r="AZ199" s="8"/>
      <c r="BA199" s="8" t="s">
        <v>37</v>
      </c>
      <c r="BB199" s="8"/>
      <c r="BC199" s="8"/>
      <c r="BD199" s="8"/>
      <c r="BE199" s="8"/>
      <c r="BF199" s="8"/>
      <c r="BG199" s="8"/>
      <c r="BH199" s="8"/>
      <c r="BI199" s="8"/>
      <c r="BJ199" s="8"/>
      <c r="BK199" s="59"/>
      <c r="BL199" s="59"/>
      <c r="BM199" s="59"/>
      <c r="BN199" s="164">
        <v>0.01</v>
      </c>
      <c r="BO199" s="165">
        <f t="shared" si="557"/>
        <v>3783.3333333333335</v>
      </c>
      <c r="BP199" s="165">
        <f t="shared" ref="BP199:BQ199" si="607">BO199</f>
        <v>3783.3333333333335</v>
      </c>
      <c r="BQ199" s="165">
        <f t="shared" si="607"/>
        <v>3783.3333333333335</v>
      </c>
      <c r="BR199" s="59"/>
      <c r="BS199" s="59"/>
      <c r="BT199" s="59"/>
      <c r="BU199" s="59"/>
      <c r="BV199" s="59" t="str">
        <f t="shared" si="598"/>
        <v>ND</v>
      </c>
      <c r="BW199" s="59" t="str">
        <f t="shared" si="599"/>
        <v>ND</v>
      </c>
      <c r="BX199" s="59" t="str">
        <f t="shared" si="600"/>
        <v>ND</v>
      </c>
      <c r="BY199" s="59" t="str">
        <f t="shared" si="601"/>
        <v>ND</v>
      </c>
      <c r="BZ199" s="59" t="str">
        <f t="shared" si="536"/>
        <v>NA</v>
      </c>
      <c r="CA199" s="59" t="str">
        <f t="shared" si="537"/>
        <v/>
      </c>
      <c r="CB199" s="59" t="str">
        <f t="shared" si="538"/>
        <v>NA</v>
      </c>
      <c r="CC199" s="59" t="str">
        <f t="shared" si="539"/>
        <v/>
      </c>
      <c r="CD199" s="59" t="str">
        <f t="shared" si="540"/>
        <v>NA</v>
      </c>
      <c r="CE199" s="59" t="str">
        <f t="shared" si="541"/>
        <v/>
      </c>
      <c r="CF199" s="59" t="str">
        <f t="shared" si="542"/>
        <v>NA</v>
      </c>
      <c r="CG199" s="59" t="str">
        <f t="shared" ca="1" si="543"/>
        <v>NA</v>
      </c>
      <c r="CH199" s="59" t="str">
        <f t="shared" ca="1" si="544"/>
        <v>NA</v>
      </c>
      <c r="CI199" s="59" t="str">
        <f t="shared" ca="1" si="545"/>
        <v>DE 6 A 10 DIAS</v>
      </c>
      <c r="CJ199" s="59" t="str">
        <f t="shared" ca="1" si="546"/>
        <v>DE 6 A 10 DIAS</v>
      </c>
      <c r="CK199" s="59" t="str">
        <f t="shared" ca="1" si="547"/>
        <v>DE 6 A 10 DIAS</v>
      </c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>
        <f t="shared" si="559"/>
        <v>0</v>
      </c>
      <c r="DH199" s="8">
        <f t="shared" si="560"/>
        <v>0</v>
      </c>
      <c r="DI199" s="8">
        <f t="shared" si="561"/>
        <v>0</v>
      </c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59" t="str">
        <f t="shared" si="562"/>
        <v>NA</v>
      </c>
      <c r="DU199" s="59" t="str">
        <f t="shared" si="563"/>
        <v>NA</v>
      </c>
      <c r="DV199" s="59" t="str">
        <f t="shared" si="564"/>
        <v>NA</v>
      </c>
      <c r="DW199" s="59" t="str">
        <f t="shared" si="565"/>
        <v>NA</v>
      </c>
      <c r="DX199" s="59" t="str">
        <f t="shared" si="566"/>
        <v>NA</v>
      </c>
      <c r="DY199" s="59" t="str">
        <f t="shared" si="567"/>
        <v>NA</v>
      </c>
      <c r="DZ199" s="59" t="str">
        <f t="shared" si="568"/>
        <v>NA</v>
      </c>
      <c r="EA199" s="59" t="str">
        <f t="shared" si="569"/>
        <v>NA</v>
      </c>
      <c r="EB199" s="59" t="str">
        <f t="shared" si="570"/>
        <v>NA</v>
      </c>
      <c r="EC199" s="59" t="str">
        <f t="shared" si="571"/>
        <v>NA</v>
      </c>
      <c r="ED199" s="59" t="str">
        <f t="shared" si="572"/>
        <v/>
      </c>
      <c r="EE199" s="59" t="str">
        <f t="shared" si="573"/>
        <v/>
      </c>
      <c r="EF199" s="59" t="str">
        <f t="shared" si="574"/>
        <v/>
      </c>
      <c r="EG199" s="59" t="str">
        <f t="shared" si="575"/>
        <v/>
      </c>
      <c r="EH199" s="59" t="str">
        <f t="shared" si="576"/>
        <v/>
      </c>
      <c r="EI199" s="59" t="str">
        <f t="shared" si="577"/>
        <v/>
      </c>
      <c r="EJ199" s="59" t="str">
        <f t="shared" si="578"/>
        <v/>
      </c>
      <c r="EK199" s="59" t="str">
        <f t="shared" si="579"/>
        <v/>
      </c>
      <c r="EL199" s="59" t="str">
        <f t="shared" si="580"/>
        <v/>
      </c>
      <c r="EM199" s="59" t="str">
        <f t="shared" si="581"/>
        <v/>
      </c>
      <c r="EN199" s="59" t="str">
        <f t="shared" si="582"/>
        <v/>
      </c>
      <c r="EO199" s="59" t="str">
        <f t="shared" si="583"/>
        <v/>
      </c>
      <c r="EP199" s="59" t="str">
        <f t="shared" si="584"/>
        <v/>
      </c>
      <c r="EQ199" s="59" t="str">
        <f t="shared" si="585"/>
        <v/>
      </c>
      <c r="ER199" s="59" t="str">
        <f t="shared" si="586"/>
        <v/>
      </c>
      <c r="ES199" s="59" t="str">
        <f t="shared" si="587"/>
        <v/>
      </c>
      <c r="ET199" s="59" t="str">
        <f t="shared" si="588"/>
        <v/>
      </c>
      <c r="EU199" s="59" t="str">
        <f t="shared" si="589"/>
        <v/>
      </c>
      <c r="EV199" s="59" t="str">
        <f t="shared" si="590"/>
        <v/>
      </c>
      <c r="EW199" s="59" t="str">
        <f t="shared" si="591"/>
        <v/>
      </c>
      <c r="EX199" s="56">
        <f t="shared" si="548"/>
        <v>1135000</v>
      </c>
    </row>
    <row r="200" spans="1:154" x14ac:dyDescent="0.25">
      <c r="A200" s="2">
        <f t="shared" si="592"/>
        <v>199</v>
      </c>
      <c r="B200" s="2" t="s">
        <v>6</v>
      </c>
      <c r="C200" s="2" t="str">
        <f t="shared" si="549"/>
        <v>030405</v>
      </c>
      <c r="D200" s="2">
        <v>3</v>
      </c>
      <c r="E200" s="2">
        <v>4</v>
      </c>
      <c r="F200" s="2">
        <v>5</v>
      </c>
      <c r="G200" s="11" t="s">
        <v>21</v>
      </c>
      <c r="H200" s="4"/>
      <c r="I200" s="42" t="s">
        <v>58</v>
      </c>
      <c r="J200" s="9">
        <v>80</v>
      </c>
      <c r="K200" s="5"/>
      <c r="L200" s="6" t="s">
        <v>306</v>
      </c>
      <c r="M200" s="22" t="s">
        <v>176</v>
      </c>
      <c r="N200" s="7">
        <f t="shared" si="593"/>
        <v>1126000</v>
      </c>
      <c r="O200" s="8">
        <v>238</v>
      </c>
      <c r="P200" s="25">
        <v>41182</v>
      </c>
      <c r="Q200" s="8" t="str">
        <f t="shared" si="550"/>
        <v>2DA-SEP</v>
      </c>
      <c r="R200" s="26">
        <v>0.3</v>
      </c>
      <c r="S200" s="41" t="s">
        <v>34</v>
      </c>
      <c r="T200" s="8" t="s">
        <v>352</v>
      </c>
      <c r="U200" s="8"/>
      <c r="V200" s="7">
        <v>563000</v>
      </c>
      <c r="W200" s="7">
        <f t="shared" si="512"/>
        <v>0</v>
      </c>
      <c r="X200" s="7">
        <f t="shared" si="551"/>
        <v>563000</v>
      </c>
      <c r="Y200" s="7">
        <v>0</v>
      </c>
      <c r="Z200" s="7">
        <f t="shared" si="552"/>
        <v>0</v>
      </c>
      <c r="AA200" s="148" t="str">
        <f t="shared" si="553"/>
        <v>5%</v>
      </c>
      <c r="AB200" s="148">
        <f t="shared" si="554"/>
        <v>0.95</v>
      </c>
      <c r="AC200" s="25">
        <f ca="1">TODAY()-14</f>
        <v>41108</v>
      </c>
      <c r="AD200" s="25">
        <f t="shared" ref="AD200:AE200" ca="1" si="608">TODAY()-14</f>
        <v>41108</v>
      </c>
      <c r="AE200" s="25">
        <f t="shared" ca="1" si="608"/>
        <v>41108</v>
      </c>
      <c r="AF200" s="8"/>
      <c r="AG200" s="59" t="str">
        <f t="shared" ca="1" si="556"/>
        <v>NA</v>
      </c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59" t="str">
        <f t="shared" si="605"/>
        <v>NA</v>
      </c>
      <c r="AS200" s="59" t="str">
        <f t="shared" si="606"/>
        <v/>
      </c>
      <c r="AT200" s="59"/>
      <c r="AU200" s="59" t="str">
        <f t="shared" si="534"/>
        <v>ND</v>
      </c>
      <c r="AV200" s="66"/>
      <c r="AW200" s="66"/>
      <c r="AX200" s="66"/>
      <c r="AY200" s="66"/>
      <c r="AZ200" s="8"/>
      <c r="BA200" s="8" t="s">
        <v>37</v>
      </c>
      <c r="BB200" s="8"/>
      <c r="BC200" s="8"/>
      <c r="BD200" s="8"/>
      <c r="BE200" s="8"/>
      <c r="BF200" s="8"/>
      <c r="BG200" s="8"/>
      <c r="BH200" s="8"/>
      <c r="BI200" s="8"/>
      <c r="BJ200" s="8"/>
      <c r="BK200" s="59"/>
      <c r="BL200" s="59"/>
      <c r="BM200" s="59"/>
      <c r="BN200" s="164">
        <v>0.01</v>
      </c>
      <c r="BO200" s="165">
        <f t="shared" si="557"/>
        <v>3753.3333333333335</v>
      </c>
      <c r="BP200" s="165">
        <f t="shared" ref="BP200:BQ200" si="609">BO200</f>
        <v>3753.3333333333335</v>
      </c>
      <c r="BQ200" s="165">
        <f t="shared" si="609"/>
        <v>3753.3333333333335</v>
      </c>
      <c r="BR200" s="59"/>
      <c r="BS200" s="59"/>
      <c r="BT200" s="59"/>
      <c r="BU200" s="59"/>
      <c r="BV200" s="59" t="str">
        <f t="shared" si="598"/>
        <v>ND</v>
      </c>
      <c r="BW200" s="59" t="str">
        <f t="shared" si="599"/>
        <v>ND</v>
      </c>
      <c r="BX200" s="59" t="str">
        <f t="shared" si="600"/>
        <v>ND</v>
      </c>
      <c r="BY200" s="59" t="str">
        <f t="shared" si="601"/>
        <v>ND</v>
      </c>
      <c r="BZ200" s="59" t="str">
        <f t="shared" si="536"/>
        <v>NA</v>
      </c>
      <c r="CA200" s="59" t="str">
        <f t="shared" si="537"/>
        <v/>
      </c>
      <c r="CB200" s="59" t="str">
        <f t="shared" si="538"/>
        <v>NA</v>
      </c>
      <c r="CC200" s="59" t="str">
        <f t="shared" si="539"/>
        <v/>
      </c>
      <c r="CD200" s="59" t="str">
        <f t="shared" si="540"/>
        <v>NA</v>
      </c>
      <c r="CE200" s="59" t="str">
        <f t="shared" si="541"/>
        <v/>
      </c>
      <c r="CF200" s="59" t="str">
        <f t="shared" si="542"/>
        <v>NA</v>
      </c>
      <c r="CG200" s="59" t="str">
        <f t="shared" ca="1" si="543"/>
        <v>NA</v>
      </c>
      <c r="CH200" s="59" t="str">
        <f t="shared" ca="1" si="544"/>
        <v>NA</v>
      </c>
      <c r="CI200" s="59" t="str">
        <f t="shared" ca="1" si="545"/>
        <v>DE 11 A 15 DIAS</v>
      </c>
      <c r="CJ200" s="59" t="str">
        <f t="shared" ca="1" si="546"/>
        <v>DE 11 A 15 DIAS</v>
      </c>
      <c r="CK200" s="59" t="str">
        <f t="shared" ca="1" si="547"/>
        <v>DE 11 A 15 DIAS</v>
      </c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>
        <f t="shared" si="559"/>
        <v>0</v>
      </c>
      <c r="DH200" s="8">
        <f t="shared" si="560"/>
        <v>0</v>
      </c>
      <c r="DI200" s="8">
        <f t="shared" si="561"/>
        <v>0</v>
      </c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59" t="str">
        <f t="shared" si="562"/>
        <v>NA</v>
      </c>
      <c r="DU200" s="59" t="str">
        <f t="shared" si="563"/>
        <v>NA</v>
      </c>
      <c r="DV200" s="59" t="str">
        <f t="shared" si="564"/>
        <v>NA</v>
      </c>
      <c r="DW200" s="59" t="str">
        <f t="shared" si="565"/>
        <v>NA</v>
      </c>
      <c r="DX200" s="59" t="str">
        <f t="shared" si="566"/>
        <v>NA</v>
      </c>
      <c r="DY200" s="59" t="str">
        <f t="shared" si="567"/>
        <v>NA</v>
      </c>
      <c r="DZ200" s="59" t="str">
        <f t="shared" si="568"/>
        <v>NA</v>
      </c>
      <c r="EA200" s="59" t="str">
        <f t="shared" si="569"/>
        <v>NA</v>
      </c>
      <c r="EB200" s="59" t="str">
        <f t="shared" si="570"/>
        <v>NA</v>
      </c>
      <c r="EC200" s="59" t="str">
        <f t="shared" si="571"/>
        <v>NA</v>
      </c>
      <c r="ED200" s="59" t="str">
        <f t="shared" si="572"/>
        <v/>
      </c>
      <c r="EE200" s="59" t="str">
        <f t="shared" si="573"/>
        <v/>
      </c>
      <c r="EF200" s="59" t="str">
        <f t="shared" si="574"/>
        <v/>
      </c>
      <c r="EG200" s="59" t="str">
        <f t="shared" si="575"/>
        <v/>
      </c>
      <c r="EH200" s="59" t="str">
        <f t="shared" si="576"/>
        <v/>
      </c>
      <c r="EI200" s="59" t="str">
        <f t="shared" si="577"/>
        <v/>
      </c>
      <c r="EJ200" s="59" t="str">
        <f t="shared" si="578"/>
        <v/>
      </c>
      <c r="EK200" s="59" t="str">
        <f t="shared" si="579"/>
        <v/>
      </c>
      <c r="EL200" s="59" t="str">
        <f t="shared" si="580"/>
        <v/>
      </c>
      <c r="EM200" s="59" t="str">
        <f t="shared" si="581"/>
        <v/>
      </c>
      <c r="EN200" s="59" t="str">
        <f t="shared" si="582"/>
        <v/>
      </c>
      <c r="EO200" s="59" t="str">
        <f t="shared" si="583"/>
        <v/>
      </c>
      <c r="EP200" s="59" t="str">
        <f t="shared" si="584"/>
        <v/>
      </c>
      <c r="EQ200" s="59" t="str">
        <f t="shared" si="585"/>
        <v/>
      </c>
      <c r="ER200" s="59" t="str">
        <f t="shared" si="586"/>
        <v/>
      </c>
      <c r="ES200" s="59" t="str">
        <f t="shared" si="587"/>
        <v/>
      </c>
      <c r="ET200" s="59" t="str">
        <f t="shared" si="588"/>
        <v/>
      </c>
      <c r="EU200" s="59" t="str">
        <f t="shared" si="589"/>
        <v/>
      </c>
      <c r="EV200" s="59" t="str">
        <f t="shared" si="590"/>
        <v/>
      </c>
      <c r="EW200" s="59" t="str">
        <f t="shared" si="591"/>
        <v/>
      </c>
      <c r="EX200" s="56">
        <f t="shared" si="548"/>
        <v>1126000</v>
      </c>
    </row>
    <row r="201" spans="1:154" x14ac:dyDescent="0.25">
      <c r="A201" s="2">
        <f t="shared" si="592"/>
        <v>200</v>
      </c>
      <c r="B201" s="2" t="s">
        <v>6</v>
      </c>
      <c r="C201" s="2" t="str">
        <f t="shared" si="549"/>
        <v>030406</v>
      </c>
      <c r="D201" s="2">
        <v>3</v>
      </c>
      <c r="E201" s="2">
        <v>4</v>
      </c>
      <c r="F201" s="2">
        <v>6</v>
      </c>
      <c r="G201" s="11" t="s">
        <v>21</v>
      </c>
      <c r="H201" s="4"/>
      <c r="I201" s="42" t="s">
        <v>58</v>
      </c>
      <c r="J201" s="9">
        <v>80</v>
      </c>
      <c r="K201" s="5"/>
      <c r="L201" s="6" t="s">
        <v>306</v>
      </c>
      <c r="M201" s="22" t="s">
        <v>176</v>
      </c>
      <c r="N201" s="7">
        <f t="shared" si="593"/>
        <v>1126000</v>
      </c>
      <c r="O201" s="8">
        <v>239</v>
      </c>
      <c r="P201" s="25">
        <v>41182</v>
      </c>
      <c r="Q201" s="8" t="str">
        <f t="shared" si="550"/>
        <v>2DA-SEP</v>
      </c>
      <c r="R201" s="26">
        <v>0.3</v>
      </c>
      <c r="S201" s="41" t="s">
        <v>34</v>
      </c>
      <c r="T201" s="8" t="s">
        <v>352</v>
      </c>
      <c r="U201" s="8"/>
      <c r="V201" s="7">
        <v>563000</v>
      </c>
      <c r="W201" s="7">
        <f t="shared" si="512"/>
        <v>0</v>
      </c>
      <c r="X201" s="7">
        <f t="shared" si="551"/>
        <v>563000</v>
      </c>
      <c r="Y201" s="7">
        <v>0</v>
      </c>
      <c r="Z201" s="7">
        <f t="shared" si="552"/>
        <v>0</v>
      </c>
      <c r="AA201" s="148" t="str">
        <f t="shared" si="553"/>
        <v>5%</v>
      </c>
      <c r="AB201" s="148">
        <f t="shared" si="554"/>
        <v>0.95</v>
      </c>
      <c r="AC201" s="25">
        <f ca="1">TODAY()-19</f>
        <v>41103</v>
      </c>
      <c r="AD201" s="25">
        <f t="shared" ref="AD201:AE201" ca="1" si="610">TODAY()-19</f>
        <v>41103</v>
      </c>
      <c r="AE201" s="25">
        <f t="shared" ca="1" si="610"/>
        <v>41103</v>
      </c>
      <c r="AF201" s="8"/>
      <c r="AG201" s="59" t="str">
        <f t="shared" ca="1" si="556"/>
        <v>NA</v>
      </c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59" t="str">
        <f t="shared" si="605"/>
        <v>NA</v>
      </c>
      <c r="AS201" s="59" t="str">
        <f t="shared" si="606"/>
        <v/>
      </c>
      <c r="AT201" s="59"/>
      <c r="AU201" s="59" t="str">
        <f t="shared" si="534"/>
        <v>ND</v>
      </c>
      <c r="AV201" s="66"/>
      <c r="AW201" s="66"/>
      <c r="AX201" s="66"/>
      <c r="AY201" s="66"/>
      <c r="AZ201" s="8"/>
      <c r="BA201" s="8" t="s">
        <v>37</v>
      </c>
      <c r="BB201" s="8"/>
      <c r="BC201" s="8"/>
      <c r="BD201" s="8"/>
      <c r="BE201" s="8"/>
      <c r="BF201" s="8"/>
      <c r="BG201" s="8"/>
      <c r="BH201" s="8"/>
      <c r="BI201" s="8"/>
      <c r="BJ201" s="8"/>
      <c r="BK201" s="59"/>
      <c r="BL201" s="59"/>
      <c r="BM201" s="59"/>
      <c r="BN201" s="164">
        <v>0.01</v>
      </c>
      <c r="BO201" s="165">
        <f t="shared" si="557"/>
        <v>3753.3333333333335</v>
      </c>
      <c r="BP201" s="165">
        <f t="shared" ref="BP201:BQ201" si="611">BO201</f>
        <v>3753.3333333333335</v>
      </c>
      <c r="BQ201" s="165">
        <f t="shared" si="611"/>
        <v>3753.3333333333335</v>
      </c>
      <c r="BR201" s="59"/>
      <c r="BS201" s="59"/>
      <c r="BT201" s="59"/>
      <c r="BU201" s="59"/>
      <c r="BV201" s="59" t="str">
        <f t="shared" si="598"/>
        <v>ND</v>
      </c>
      <c r="BW201" s="59" t="str">
        <f t="shared" si="599"/>
        <v>ND</v>
      </c>
      <c r="BX201" s="59" t="str">
        <f t="shared" si="600"/>
        <v>ND</v>
      </c>
      <c r="BY201" s="59" t="str">
        <f t="shared" si="601"/>
        <v>ND</v>
      </c>
      <c r="BZ201" s="59" t="str">
        <f t="shared" si="536"/>
        <v>NA</v>
      </c>
      <c r="CA201" s="59" t="str">
        <f t="shared" si="537"/>
        <v/>
      </c>
      <c r="CB201" s="59" t="str">
        <f t="shared" si="538"/>
        <v>NA</v>
      </c>
      <c r="CC201" s="59" t="str">
        <f t="shared" si="539"/>
        <v/>
      </c>
      <c r="CD201" s="59" t="str">
        <f t="shared" si="540"/>
        <v>NA</v>
      </c>
      <c r="CE201" s="59" t="str">
        <f t="shared" si="541"/>
        <v/>
      </c>
      <c r="CF201" s="59" t="str">
        <f t="shared" si="542"/>
        <v>NA</v>
      </c>
      <c r="CG201" s="59" t="str">
        <f t="shared" ca="1" si="543"/>
        <v>NA</v>
      </c>
      <c r="CH201" s="59" t="str">
        <f t="shared" ca="1" si="544"/>
        <v>NA</v>
      </c>
      <c r="CI201" s="59" t="str">
        <f t="shared" ca="1" si="545"/>
        <v>DE 16 A 20 DIAS</v>
      </c>
      <c r="CJ201" s="59" t="str">
        <f t="shared" ca="1" si="546"/>
        <v>DE 16 A 20 DIAS</v>
      </c>
      <c r="CK201" s="59" t="str">
        <f t="shared" ca="1" si="547"/>
        <v>DE 16 A 20 DIAS</v>
      </c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>
        <f t="shared" si="559"/>
        <v>0</v>
      </c>
      <c r="DH201" s="8">
        <f t="shared" si="560"/>
        <v>0</v>
      </c>
      <c r="DI201" s="8">
        <f t="shared" si="561"/>
        <v>0</v>
      </c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59" t="str">
        <f t="shared" si="562"/>
        <v>NA</v>
      </c>
      <c r="DU201" s="59" t="str">
        <f t="shared" si="563"/>
        <v>NA</v>
      </c>
      <c r="DV201" s="59" t="str">
        <f t="shared" si="564"/>
        <v>NA</v>
      </c>
      <c r="DW201" s="59" t="str">
        <f t="shared" si="565"/>
        <v>NA</v>
      </c>
      <c r="DX201" s="59" t="str">
        <f t="shared" si="566"/>
        <v>NA</v>
      </c>
      <c r="DY201" s="59" t="str">
        <f t="shared" si="567"/>
        <v>NA</v>
      </c>
      <c r="DZ201" s="59" t="str">
        <f t="shared" si="568"/>
        <v>NA</v>
      </c>
      <c r="EA201" s="59" t="str">
        <f t="shared" si="569"/>
        <v>NA</v>
      </c>
      <c r="EB201" s="59" t="str">
        <f t="shared" si="570"/>
        <v>NA</v>
      </c>
      <c r="EC201" s="59" t="str">
        <f t="shared" si="571"/>
        <v>NA</v>
      </c>
      <c r="ED201" s="59" t="str">
        <f t="shared" si="572"/>
        <v/>
      </c>
      <c r="EE201" s="59" t="str">
        <f t="shared" si="573"/>
        <v/>
      </c>
      <c r="EF201" s="59" t="str">
        <f t="shared" si="574"/>
        <v/>
      </c>
      <c r="EG201" s="59" t="str">
        <f t="shared" si="575"/>
        <v/>
      </c>
      <c r="EH201" s="59" t="str">
        <f t="shared" si="576"/>
        <v/>
      </c>
      <c r="EI201" s="59" t="str">
        <f t="shared" si="577"/>
        <v/>
      </c>
      <c r="EJ201" s="59" t="str">
        <f t="shared" si="578"/>
        <v/>
      </c>
      <c r="EK201" s="59" t="str">
        <f t="shared" si="579"/>
        <v/>
      </c>
      <c r="EL201" s="59" t="str">
        <f t="shared" si="580"/>
        <v/>
      </c>
      <c r="EM201" s="59" t="str">
        <f t="shared" si="581"/>
        <v/>
      </c>
      <c r="EN201" s="59" t="str">
        <f t="shared" si="582"/>
        <v/>
      </c>
      <c r="EO201" s="59" t="str">
        <f t="shared" si="583"/>
        <v/>
      </c>
      <c r="EP201" s="59" t="str">
        <f t="shared" si="584"/>
        <v/>
      </c>
      <c r="EQ201" s="59" t="str">
        <f t="shared" si="585"/>
        <v/>
      </c>
      <c r="ER201" s="59" t="str">
        <f t="shared" si="586"/>
        <v/>
      </c>
      <c r="ES201" s="59" t="str">
        <f t="shared" si="587"/>
        <v/>
      </c>
      <c r="ET201" s="59" t="str">
        <f t="shared" si="588"/>
        <v/>
      </c>
      <c r="EU201" s="59" t="str">
        <f t="shared" si="589"/>
        <v/>
      </c>
      <c r="EV201" s="59" t="str">
        <f t="shared" si="590"/>
        <v/>
      </c>
      <c r="EW201" s="59" t="str">
        <f t="shared" si="591"/>
        <v/>
      </c>
      <c r="EX201" s="56">
        <f t="shared" si="548"/>
        <v>1126000</v>
      </c>
    </row>
    <row r="202" spans="1:154" x14ac:dyDescent="0.25">
      <c r="A202" s="2">
        <f t="shared" si="592"/>
        <v>201</v>
      </c>
      <c r="B202" s="2" t="s">
        <v>6</v>
      </c>
      <c r="C202" s="2" t="str">
        <f t="shared" si="549"/>
        <v>030407</v>
      </c>
      <c r="D202" s="2">
        <v>3</v>
      </c>
      <c r="E202" s="2">
        <v>4</v>
      </c>
      <c r="F202" s="2">
        <v>7</v>
      </c>
      <c r="G202" s="11" t="s">
        <v>21</v>
      </c>
      <c r="H202" s="4"/>
      <c r="I202" s="42" t="s">
        <v>58</v>
      </c>
      <c r="J202" s="9">
        <v>80</v>
      </c>
      <c r="K202" s="9"/>
      <c r="L202" s="10" t="s">
        <v>8</v>
      </c>
      <c r="M202" s="22" t="s">
        <v>176</v>
      </c>
      <c r="N202" s="7">
        <f t="shared" si="593"/>
        <v>1135000</v>
      </c>
      <c r="O202" s="8">
        <v>240</v>
      </c>
      <c r="P202" s="25">
        <v>41182</v>
      </c>
      <c r="Q202" s="8" t="str">
        <f t="shared" si="550"/>
        <v>2DA-SEP</v>
      </c>
      <c r="R202" s="26">
        <v>0.3</v>
      </c>
      <c r="S202" s="41" t="s">
        <v>34</v>
      </c>
      <c r="T202" s="8" t="s">
        <v>352</v>
      </c>
      <c r="U202" s="8"/>
      <c r="V202" s="7">
        <v>567500</v>
      </c>
      <c r="W202" s="7">
        <f t="shared" si="512"/>
        <v>0</v>
      </c>
      <c r="X202" s="7">
        <f t="shared" si="551"/>
        <v>567500</v>
      </c>
      <c r="Y202" s="7">
        <v>0</v>
      </c>
      <c r="Z202" s="7">
        <f t="shared" si="552"/>
        <v>0</v>
      </c>
      <c r="AA202" s="148" t="str">
        <f t="shared" si="553"/>
        <v>5%</v>
      </c>
      <c r="AB202" s="148">
        <f t="shared" si="554"/>
        <v>0.95</v>
      </c>
      <c r="AC202" s="25">
        <f ca="1">TODAY()-25</f>
        <v>41097</v>
      </c>
      <c r="AD202" s="25">
        <f t="shared" ref="AD202:AE202" ca="1" si="612">TODAY()-25</f>
        <v>41097</v>
      </c>
      <c r="AE202" s="25">
        <f t="shared" ca="1" si="612"/>
        <v>41097</v>
      </c>
      <c r="AF202" s="8"/>
      <c r="AG202" s="59" t="str">
        <f t="shared" ca="1" si="556"/>
        <v>NA</v>
      </c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59" t="str">
        <f t="shared" si="605"/>
        <v>NA</v>
      </c>
      <c r="AS202" s="59" t="str">
        <f t="shared" si="606"/>
        <v/>
      </c>
      <c r="AT202" s="59"/>
      <c r="AU202" s="59" t="str">
        <f t="shared" si="534"/>
        <v>ND</v>
      </c>
      <c r="AV202" s="66"/>
      <c r="AW202" s="66"/>
      <c r="AX202" s="66"/>
      <c r="AY202" s="66"/>
      <c r="AZ202" s="8"/>
      <c r="BA202" s="8" t="s">
        <v>37</v>
      </c>
      <c r="BB202" s="8"/>
      <c r="BC202" s="8"/>
      <c r="BD202" s="8"/>
      <c r="BE202" s="8"/>
      <c r="BF202" s="8"/>
      <c r="BG202" s="8"/>
      <c r="BH202" s="8"/>
      <c r="BI202" s="8"/>
      <c r="BJ202" s="8"/>
      <c r="BK202" s="59"/>
      <c r="BL202" s="59"/>
      <c r="BM202" s="59"/>
      <c r="BN202" s="164">
        <v>0.01</v>
      </c>
      <c r="BO202" s="165">
        <f t="shared" si="557"/>
        <v>3783.3333333333335</v>
      </c>
      <c r="BP202" s="165">
        <f t="shared" ref="BP202:BQ202" si="613">BO202</f>
        <v>3783.3333333333335</v>
      </c>
      <c r="BQ202" s="165">
        <f t="shared" si="613"/>
        <v>3783.3333333333335</v>
      </c>
      <c r="BR202" s="59"/>
      <c r="BS202" s="59"/>
      <c r="BT202" s="59"/>
      <c r="BU202" s="59"/>
      <c r="BV202" s="59" t="str">
        <f t="shared" si="598"/>
        <v>ND</v>
      </c>
      <c r="BW202" s="59" t="str">
        <f t="shared" si="599"/>
        <v>ND</v>
      </c>
      <c r="BX202" s="59" t="str">
        <f t="shared" si="600"/>
        <v>ND</v>
      </c>
      <c r="BY202" s="59" t="str">
        <f t="shared" si="601"/>
        <v>ND</v>
      </c>
      <c r="BZ202" s="59" t="str">
        <f t="shared" si="536"/>
        <v>NA</v>
      </c>
      <c r="CA202" s="59" t="str">
        <f t="shared" si="537"/>
        <v/>
      </c>
      <c r="CB202" s="59" t="str">
        <f t="shared" si="538"/>
        <v>NA</v>
      </c>
      <c r="CC202" s="59" t="str">
        <f t="shared" si="539"/>
        <v/>
      </c>
      <c r="CD202" s="59" t="str">
        <f t="shared" si="540"/>
        <v>NA</v>
      </c>
      <c r="CE202" s="59" t="str">
        <f t="shared" si="541"/>
        <v/>
      </c>
      <c r="CF202" s="59" t="str">
        <f t="shared" si="542"/>
        <v>NA</v>
      </c>
      <c r="CG202" s="59" t="str">
        <f t="shared" ca="1" si="543"/>
        <v>NA</v>
      </c>
      <c r="CH202" s="59" t="str">
        <f t="shared" ca="1" si="544"/>
        <v>NA</v>
      </c>
      <c r="CI202" s="59" t="str">
        <f t="shared" ca="1" si="545"/>
        <v>DE 21 A 25 DIAS</v>
      </c>
      <c r="CJ202" s="59" t="str">
        <f t="shared" ca="1" si="546"/>
        <v>DE 21 A 25 DIAS</v>
      </c>
      <c r="CK202" s="59" t="str">
        <f t="shared" ca="1" si="547"/>
        <v>DE 21 A 25 DIAS</v>
      </c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>
        <f t="shared" si="559"/>
        <v>0</v>
      </c>
      <c r="DH202" s="8">
        <f t="shared" si="560"/>
        <v>0</v>
      </c>
      <c r="DI202" s="8">
        <f t="shared" si="561"/>
        <v>0</v>
      </c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59" t="str">
        <f t="shared" si="562"/>
        <v>NA</v>
      </c>
      <c r="DU202" s="59" t="str">
        <f t="shared" si="563"/>
        <v>NA</v>
      </c>
      <c r="DV202" s="59" t="str">
        <f t="shared" si="564"/>
        <v>NA</v>
      </c>
      <c r="DW202" s="59" t="str">
        <f t="shared" si="565"/>
        <v>NA</v>
      </c>
      <c r="DX202" s="59" t="str">
        <f t="shared" si="566"/>
        <v>NA</v>
      </c>
      <c r="DY202" s="59" t="str">
        <f t="shared" si="567"/>
        <v>NA</v>
      </c>
      <c r="DZ202" s="59" t="str">
        <f t="shared" si="568"/>
        <v>NA</v>
      </c>
      <c r="EA202" s="59" t="str">
        <f t="shared" si="569"/>
        <v>NA</v>
      </c>
      <c r="EB202" s="59" t="str">
        <f t="shared" si="570"/>
        <v>NA</v>
      </c>
      <c r="EC202" s="59" t="str">
        <f t="shared" si="571"/>
        <v>NA</v>
      </c>
      <c r="ED202" s="59" t="str">
        <f t="shared" si="572"/>
        <v/>
      </c>
      <c r="EE202" s="59" t="str">
        <f t="shared" si="573"/>
        <v/>
      </c>
      <c r="EF202" s="59" t="str">
        <f t="shared" si="574"/>
        <v/>
      </c>
      <c r="EG202" s="59" t="str">
        <f t="shared" si="575"/>
        <v/>
      </c>
      <c r="EH202" s="59" t="str">
        <f t="shared" si="576"/>
        <v/>
      </c>
      <c r="EI202" s="59" t="str">
        <f t="shared" si="577"/>
        <v/>
      </c>
      <c r="EJ202" s="59" t="str">
        <f t="shared" si="578"/>
        <v/>
      </c>
      <c r="EK202" s="59" t="str">
        <f t="shared" si="579"/>
        <v/>
      </c>
      <c r="EL202" s="59" t="str">
        <f t="shared" si="580"/>
        <v/>
      </c>
      <c r="EM202" s="59" t="str">
        <f t="shared" si="581"/>
        <v/>
      </c>
      <c r="EN202" s="59" t="str">
        <f t="shared" si="582"/>
        <v/>
      </c>
      <c r="EO202" s="59" t="str">
        <f t="shared" si="583"/>
        <v/>
      </c>
      <c r="EP202" s="59" t="str">
        <f t="shared" si="584"/>
        <v/>
      </c>
      <c r="EQ202" s="59" t="str">
        <f t="shared" si="585"/>
        <v/>
      </c>
      <c r="ER202" s="59" t="str">
        <f t="shared" si="586"/>
        <v/>
      </c>
      <c r="ES202" s="59" t="str">
        <f t="shared" si="587"/>
        <v/>
      </c>
      <c r="ET202" s="59" t="str">
        <f t="shared" si="588"/>
        <v/>
      </c>
      <c r="EU202" s="59" t="str">
        <f t="shared" si="589"/>
        <v/>
      </c>
      <c r="EV202" s="59" t="str">
        <f t="shared" si="590"/>
        <v/>
      </c>
      <c r="EW202" s="59" t="str">
        <f t="shared" si="591"/>
        <v/>
      </c>
      <c r="EX202" s="56">
        <f t="shared" si="548"/>
        <v>1135000</v>
      </c>
    </row>
    <row r="203" spans="1:154" x14ac:dyDescent="0.25">
      <c r="A203" s="2">
        <f t="shared" si="592"/>
        <v>202</v>
      </c>
      <c r="B203" s="2" t="s">
        <v>6</v>
      </c>
      <c r="C203" s="2" t="str">
        <f t="shared" si="549"/>
        <v>030408</v>
      </c>
      <c r="D203" s="2">
        <v>3</v>
      </c>
      <c r="E203" s="2">
        <v>4</v>
      </c>
      <c r="F203" s="2">
        <v>8</v>
      </c>
      <c r="G203" s="11" t="s">
        <v>21</v>
      </c>
      <c r="H203" s="4"/>
      <c r="I203" s="42" t="s">
        <v>58</v>
      </c>
      <c r="J203" s="9">
        <v>80</v>
      </c>
      <c r="K203" s="5"/>
      <c r="L203" s="6" t="s">
        <v>306</v>
      </c>
      <c r="M203" s="22" t="s">
        <v>176</v>
      </c>
      <c r="N203" s="7">
        <f t="shared" si="593"/>
        <v>1126000</v>
      </c>
      <c r="O203" s="8">
        <v>241</v>
      </c>
      <c r="P203" s="25">
        <v>41182</v>
      </c>
      <c r="Q203" s="8" t="str">
        <f t="shared" si="550"/>
        <v>2DA-SEP</v>
      </c>
      <c r="R203" s="26">
        <v>0.3</v>
      </c>
      <c r="S203" s="41" t="s">
        <v>34</v>
      </c>
      <c r="T203" s="8" t="s">
        <v>352</v>
      </c>
      <c r="U203" s="8"/>
      <c r="V203" s="7">
        <v>563000</v>
      </c>
      <c r="W203" s="7">
        <f t="shared" si="512"/>
        <v>0</v>
      </c>
      <c r="X203" s="7">
        <f t="shared" si="551"/>
        <v>563000</v>
      </c>
      <c r="Y203" s="7">
        <v>0</v>
      </c>
      <c r="Z203" s="7">
        <f t="shared" si="552"/>
        <v>0</v>
      </c>
      <c r="AA203" s="148" t="str">
        <f t="shared" si="553"/>
        <v>5%</v>
      </c>
      <c r="AB203" s="148">
        <f t="shared" si="554"/>
        <v>0.95</v>
      </c>
      <c r="AC203" s="25">
        <f ca="1">TODAY()-29</f>
        <v>41093</v>
      </c>
      <c r="AD203" s="25">
        <f t="shared" ref="AD203:AE203" ca="1" si="614">TODAY()-29</f>
        <v>41093</v>
      </c>
      <c r="AE203" s="25">
        <f t="shared" ca="1" si="614"/>
        <v>41093</v>
      </c>
      <c r="AF203" s="8"/>
      <c r="AG203" s="59" t="str">
        <f t="shared" ca="1" si="556"/>
        <v>NA</v>
      </c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59" t="str">
        <f t="shared" si="605"/>
        <v>NA</v>
      </c>
      <c r="AS203" s="59" t="str">
        <f t="shared" si="606"/>
        <v/>
      </c>
      <c r="AT203" s="59"/>
      <c r="AU203" s="59" t="str">
        <f t="shared" si="534"/>
        <v>ND</v>
      </c>
      <c r="AV203" s="66"/>
      <c r="AW203" s="66"/>
      <c r="AX203" s="66"/>
      <c r="AY203" s="66"/>
      <c r="AZ203" s="8"/>
      <c r="BA203" s="8" t="s">
        <v>37</v>
      </c>
      <c r="BB203" s="8"/>
      <c r="BC203" s="8"/>
      <c r="BD203" s="8"/>
      <c r="BE203" s="8"/>
      <c r="BF203" s="8"/>
      <c r="BG203" s="8"/>
      <c r="BH203" s="8"/>
      <c r="BI203" s="8"/>
      <c r="BJ203" s="8"/>
      <c r="BK203" s="59"/>
      <c r="BL203" s="59"/>
      <c r="BM203" s="59"/>
      <c r="BN203" s="164">
        <v>0.01</v>
      </c>
      <c r="BO203" s="165">
        <f t="shared" si="557"/>
        <v>3753.3333333333335</v>
      </c>
      <c r="BP203" s="165">
        <f t="shared" ref="BP203:BQ203" si="615">BO203</f>
        <v>3753.3333333333335</v>
      </c>
      <c r="BQ203" s="165">
        <f t="shared" si="615"/>
        <v>3753.3333333333335</v>
      </c>
      <c r="BR203" s="59"/>
      <c r="BS203" s="59"/>
      <c r="BT203" s="59"/>
      <c r="BU203" s="59"/>
      <c r="BV203" s="59" t="str">
        <f t="shared" si="598"/>
        <v>ND</v>
      </c>
      <c r="BW203" s="59" t="str">
        <f t="shared" si="599"/>
        <v>ND</v>
      </c>
      <c r="BX203" s="59" t="str">
        <f t="shared" si="600"/>
        <v>ND</v>
      </c>
      <c r="BY203" s="59" t="str">
        <f t="shared" si="601"/>
        <v>ND</v>
      </c>
      <c r="BZ203" s="59" t="str">
        <f t="shared" si="536"/>
        <v>NA</v>
      </c>
      <c r="CA203" s="59" t="str">
        <f t="shared" si="537"/>
        <v/>
      </c>
      <c r="CB203" s="59" t="str">
        <f t="shared" si="538"/>
        <v>NA</v>
      </c>
      <c r="CC203" s="59" t="str">
        <f t="shared" si="539"/>
        <v/>
      </c>
      <c r="CD203" s="59" t="str">
        <f t="shared" si="540"/>
        <v>NA</v>
      </c>
      <c r="CE203" s="59" t="str">
        <f t="shared" si="541"/>
        <v/>
      </c>
      <c r="CF203" s="59" t="str">
        <f t="shared" si="542"/>
        <v>NA</v>
      </c>
      <c r="CG203" s="59" t="str">
        <f t="shared" ca="1" si="543"/>
        <v>NA</v>
      </c>
      <c r="CH203" s="59" t="str">
        <f t="shared" ca="1" si="544"/>
        <v>NA</v>
      </c>
      <c r="CI203" s="59" t="str">
        <f t="shared" ca="1" si="545"/>
        <v>DE 26 A 29 DIAS</v>
      </c>
      <c r="CJ203" s="59" t="str">
        <f t="shared" ca="1" si="546"/>
        <v>DE 26 A 29 DIAS</v>
      </c>
      <c r="CK203" s="59" t="str">
        <f t="shared" ca="1" si="547"/>
        <v>DE 26 A 29 DIAS</v>
      </c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>
        <f t="shared" si="559"/>
        <v>0</v>
      </c>
      <c r="DH203" s="8">
        <f t="shared" si="560"/>
        <v>0</v>
      </c>
      <c r="DI203" s="8">
        <f t="shared" si="561"/>
        <v>0</v>
      </c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59" t="str">
        <f t="shared" si="562"/>
        <v>NA</v>
      </c>
      <c r="DU203" s="59" t="str">
        <f t="shared" si="563"/>
        <v>NA</v>
      </c>
      <c r="DV203" s="59" t="str">
        <f t="shared" si="564"/>
        <v>NA</v>
      </c>
      <c r="DW203" s="59" t="str">
        <f t="shared" si="565"/>
        <v>NA</v>
      </c>
      <c r="DX203" s="59" t="str">
        <f t="shared" si="566"/>
        <v>NA</v>
      </c>
      <c r="DY203" s="59" t="str">
        <f t="shared" si="567"/>
        <v>NA</v>
      </c>
      <c r="DZ203" s="59" t="str">
        <f t="shared" si="568"/>
        <v>NA</v>
      </c>
      <c r="EA203" s="59" t="str">
        <f t="shared" si="569"/>
        <v>NA</v>
      </c>
      <c r="EB203" s="59" t="str">
        <f t="shared" si="570"/>
        <v>NA</v>
      </c>
      <c r="EC203" s="59" t="str">
        <f t="shared" si="571"/>
        <v>NA</v>
      </c>
      <c r="ED203" s="59" t="str">
        <f t="shared" si="572"/>
        <v/>
      </c>
      <c r="EE203" s="59" t="str">
        <f t="shared" si="573"/>
        <v/>
      </c>
      <c r="EF203" s="59" t="str">
        <f t="shared" si="574"/>
        <v/>
      </c>
      <c r="EG203" s="59" t="str">
        <f t="shared" si="575"/>
        <v/>
      </c>
      <c r="EH203" s="59" t="str">
        <f t="shared" si="576"/>
        <v/>
      </c>
      <c r="EI203" s="59" t="str">
        <f t="shared" si="577"/>
        <v/>
      </c>
      <c r="EJ203" s="59" t="str">
        <f t="shared" si="578"/>
        <v/>
      </c>
      <c r="EK203" s="59" t="str">
        <f t="shared" si="579"/>
        <v/>
      </c>
      <c r="EL203" s="59" t="str">
        <f t="shared" si="580"/>
        <v/>
      </c>
      <c r="EM203" s="59" t="str">
        <f t="shared" si="581"/>
        <v/>
      </c>
      <c r="EN203" s="59" t="str">
        <f t="shared" si="582"/>
        <v/>
      </c>
      <c r="EO203" s="59" t="str">
        <f t="shared" si="583"/>
        <v/>
      </c>
      <c r="EP203" s="59" t="str">
        <f t="shared" si="584"/>
        <v/>
      </c>
      <c r="EQ203" s="59" t="str">
        <f t="shared" si="585"/>
        <v/>
      </c>
      <c r="ER203" s="59" t="str">
        <f t="shared" si="586"/>
        <v/>
      </c>
      <c r="ES203" s="59" t="str">
        <f t="shared" si="587"/>
        <v/>
      </c>
      <c r="ET203" s="59" t="str">
        <f t="shared" si="588"/>
        <v/>
      </c>
      <c r="EU203" s="59" t="str">
        <f t="shared" si="589"/>
        <v/>
      </c>
      <c r="EV203" s="59" t="str">
        <f t="shared" si="590"/>
        <v/>
      </c>
      <c r="EW203" s="59" t="str">
        <f t="shared" si="591"/>
        <v/>
      </c>
      <c r="EX203" s="56">
        <f t="shared" si="548"/>
        <v>1126000</v>
      </c>
    </row>
    <row r="204" spans="1:154" x14ac:dyDescent="0.25">
      <c r="A204" s="2">
        <f t="shared" si="592"/>
        <v>203</v>
      </c>
      <c r="B204" s="2" t="s">
        <v>6</v>
      </c>
      <c r="C204" s="2" t="str">
        <f t="shared" si="549"/>
        <v>030409</v>
      </c>
      <c r="D204" s="2">
        <v>3</v>
      </c>
      <c r="E204" s="2">
        <v>4</v>
      </c>
      <c r="F204" s="2">
        <v>9</v>
      </c>
      <c r="G204" s="11" t="s">
        <v>21</v>
      </c>
      <c r="H204" s="4"/>
      <c r="I204" s="42" t="s">
        <v>58</v>
      </c>
      <c r="J204" s="9">
        <v>80</v>
      </c>
      <c r="K204" s="5"/>
      <c r="L204" s="6" t="s">
        <v>306</v>
      </c>
      <c r="M204" s="22" t="s">
        <v>176</v>
      </c>
      <c r="N204" s="7">
        <f t="shared" si="593"/>
        <v>1126000</v>
      </c>
      <c r="O204" s="8">
        <v>242</v>
      </c>
      <c r="P204" s="25">
        <v>41182</v>
      </c>
      <c r="Q204" s="8" t="str">
        <f t="shared" si="550"/>
        <v>2DA-SEP</v>
      </c>
      <c r="R204" s="26">
        <v>0.3</v>
      </c>
      <c r="S204" s="41" t="s">
        <v>34</v>
      </c>
      <c r="T204" s="8" t="s">
        <v>352</v>
      </c>
      <c r="U204" s="8"/>
      <c r="V204" s="7">
        <v>563000</v>
      </c>
      <c r="W204" s="7">
        <f t="shared" si="512"/>
        <v>0</v>
      </c>
      <c r="X204" s="7">
        <f t="shared" si="551"/>
        <v>563000</v>
      </c>
      <c r="Y204" s="7">
        <v>0</v>
      </c>
      <c r="Z204" s="7">
        <f t="shared" si="552"/>
        <v>0</v>
      </c>
      <c r="AA204" s="148" t="str">
        <f t="shared" si="553"/>
        <v>5%</v>
      </c>
      <c r="AB204" s="148">
        <f t="shared" si="554"/>
        <v>0.95</v>
      </c>
      <c r="AC204" s="25">
        <f ca="1">TODAY()-30</f>
        <v>41092</v>
      </c>
      <c r="AD204" s="25">
        <f t="shared" ref="AD204:AE204" ca="1" si="616">TODAY()-30</f>
        <v>41092</v>
      </c>
      <c r="AE204" s="25">
        <f t="shared" ca="1" si="616"/>
        <v>41092</v>
      </c>
      <c r="AF204" s="8"/>
      <c r="AG204" s="59" t="str">
        <f t="shared" ca="1" si="556"/>
        <v>NA</v>
      </c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59" t="str">
        <f t="shared" si="605"/>
        <v>NA</v>
      </c>
      <c r="AS204" s="59" t="str">
        <f t="shared" si="606"/>
        <v/>
      </c>
      <c r="AT204" s="59"/>
      <c r="AU204" s="59" t="str">
        <f t="shared" si="534"/>
        <v>ND</v>
      </c>
      <c r="AV204" s="66"/>
      <c r="AW204" s="66"/>
      <c r="AX204" s="66"/>
      <c r="AY204" s="66"/>
      <c r="AZ204" s="8"/>
      <c r="BA204" s="8" t="s">
        <v>37</v>
      </c>
      <c r="BB204" s="8"/>
      <c r="BC204" s="8"/>
      <c r="BD204" s="8"/>
      <c r="BE204" s="8"/>
      <c r="BF204" s="8"/>
      <c r="BG204" s="8"/>
      <c r="BH204" s="8"/>
      <c r="BI204" s="8"/>
      <c r="BJ204" s="8"/>
      <c r="BK204" s="59"/>
      <c r="BL204" s="59"/>
      <c r="BM204" s="59"/>
      <c r="BN204" s="164">
        <v>0.01</v>
      </c>
      <c r="BO204" s="165">
        <f t="shared" si="557"/>
        <v>3753.3333333333335</v>
      </c>
      <c r="BP204" s="165">
        <f t="shared" ref="BP204:BQ204" si="617">BO204</f>
        <v>3753.3333333333335</v>
      </c>
      <c r="BQ204" s="165">
        <f t="shared" si="617"/>
        <v>3753.3333333333335</v>
      </c>
      <c r="BR204" s="59"/>
      <c r="BS204" s="59"/>
      <c r="BT204" s="59"/>
      <c r="BU204" s="59"/>
      <c r="BV204" s="59" t="str">
        <f t="shared" si="598"/>
        <v>ND</v>
      </c>
      <c r="BW204" s="59" t="str">
        <f t="shared" si="599"/>
        <v>ND</v>
      </c>
      <c r="BX204" s="59" t="str">
        <f t="shared" si="600"/>
        <v>ND</v>
      </c>
      <c r="BY204" s="59" t="str">
        <f t="shared" si="601"/>
        <v>ND</v>
      </c>
      <c r="BZ204" s="59" t="str">
        <f t="shared" si="536"/>
        <v>NA</v>
      </c>
      <c r="CA204" s="59" t="str">
        <f t="shared" si="537"/>
        <v/>
      </c>
      <c r="CB204" s="59" t="str">
        <f t="shared" si="538"/>
        <v>NA</v>
      </c>
      <c r="CC204" s="59" t="str">
        <f t="shared" si="539"/>
        <v/>
      </c>
      <c r="CD204" s="59" t="str">
        <f t="shared" si="540"/>
        <v>NA</v>
      </c>
      <c r="CE204" s="59" t="str">
        <f t="shared" si="541"/>
        <v/>
      </c>
      <c r="CF204" s="59" t="str">
        <f t="shared" si="542"/>
        <v>NA</v>
      </c>
      <c r="CG204" s="59" t="str">
        <f t="shared" ca="1" si="543"/>
        <v>NA</v>
      </c>
      <c r="CH204" s="59" t="str">
        <f t="shared" ca="1" si="544"/>
        <v>NA</v>
      </c>
      <c r="CI204" s="59" t="str">
        <f t="shared" ca="1" si="545"/>
        <v>30 DIAS</v>
      </c>
      <c r="CJ204" s="59" t="str">
        <f t="shared" ca="1" si="546"/>
        <v>30 DIAS</v>
      </c>
      <c r="CK204" s="59" t="str">
        <f t="shared" ca="1" si="547"/>
        <v>30 DIAS</v>
      </c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>
        <f t="shared" si="559"/>
        <v>0</v>
      </c>
      <c r="DH204" s="8">
        <f t="shared" si="560"/>
        <v>0</v>
      </c>
      <c r="DI204" s="8">
        <f t="shared" si="561"/>
        <v>0</v>
      </c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59" t="str">
        <f t="shared" si="562"/>
        <v>NA</v>
      </c>
      <c r="DU204" s="59" t="str">
        <f t="shared" si="563"/>
        <v>NA</v>
      </c>
      <c r="DV204" s="59" t="str">
        <f t="shared" si="564"/>
        <v>NA</v>
      </c>
      <c r="DW204" s="59" t="str">
        <f t="shared" si="565"/>
        <v>NA</v>
      </c>
      <c r="DX204" s="59" t="str">
        <f t="shared" si="566"/>
        <v>NA</v>
      </c>
      <c r="DY204" s="59" t="str">
        <f t="shared" si="567"/>
        <v>NA</v>
      </c>
      <c r="DZ204" s="59" t="str">
        <f t="shared" si="568"/>
        <v>NA</v>
      </c>
      <c r="EA204" s="59" t="str">
        <f t="shared" si="569"/>
        <v>NA</v>
      </c>
      <c r="EB204" s="59" t="str">
        <f t="shared" si="570"/>
        <v>NA</v>
      </c>
      <c r="EC204" s="59" t="str">
        <f t="shared" si="571"/>
        <v>NA</v>
      </c>
      <c r="ED204" s="59" t="str">
        <f t="shared" si="572"/>
        <v/>
      </c>
      <c r="EE204" s="59" t="str">
        <f t="shared" si="573"/>
        <v/>
      </c>
      <c r="EF204" s="59" t="str">
        <f t="shared" si="574"/>
        <v/>
      </c>
      <c r="EG204" s="59" t="str">
        <f t="shared" si="575"/>
        <v/>
      </c>
      <c r="EH204" s="59" t="str">
        <f t="shared" si="576"/>
        <v/>
      </c>
      <c r="EI204" s="59" t="str">
        <f t="shared" si="577"/>
        <v/>
      </c>
      <c r="EJ204" s="59" t="str">
        <f t="shared" si="578"/>
        <v/>
      </c>
      <c r="EK204" s="59" t="str">
        <f t="shared" si="579"/>
        <v/>
      </c>
      <c r="EL204" s="59" t="str">
        <f t="shared" si="580"/>
        <v/>
      </c>
      <c r="EM204" s="59" t="str">
        <f t="shared" si="581"/>
        <v/>
      </c>
      <c r="EN204" s="59" t="str">
        <f t="shared" si="582"/>
        <v/>
      </c>
      <c r="EO204" s="59" t="str">
        <f t="shared" si="583"/>
        <v/>
      </c>
      <c r="EP204" s="59" t="str">
        <f t="shared" si="584"/>
        <v/>
      </c>
      <c r="EQ204" s="59" t="str">
        <f t="shared" si="585"/>
        <v/>
      </c>
      <c r="ER204" s="59" t="str">
        <f t="shared" si="586"/>
        <v/>
      </c>
      <c r="ES204" s="59" t="str">
        <f t="shared" si="587"/>
        <v/>
      </c>
      <c r="ET204" s="59" t="str">
        <f t="shared" si="588"/>
        <v/>
      </c>
      <c r="EU204" s="59" t="str">
        <f t="shared" si="589"/>
        <v/>
      </c>
      <c r="EV204" s="59" t="str">
        <f t="shared" si="590"/>
        <v/>
      </c>
      <c r="EW204" s="59" t="str">
        <f t="shared" si="591"/>
        <v/>
      </c>
      <c r="EX204" s="56">
        <f t="shared" si="548"/>
        <v>1126000</v>
      </c>
    </row>
    <row r="205" spans="1:154" x14ac:dyDescent="0.25">
      <c r="A205" s="2">
        <f t="shared" si="592"/>
        <v>204</v>
      </c>
      <c r="B205" s="2" t="s">
        <v>6</v>
      </c>
      <c r="C205" s="2" t="str">
        <f t="shared" si="549"/>
        <v>030410</v>
      </c>
      <c r="D205" s="2">
        <v>3</v>
      </c>
      <c r="E205" s="2">
        <v>4</v>
      </c>
      <c r="F205" s="2">
        <v>10</v>
      </c>
      <c r="G205" s="11" t="s">
        <v>21</v>
      </c>
      <c r="H205" s="4"/>
      <c r="I205" s="42" t="s">
        <v>58</v>
      </c>
      <c r="J205" s="9">
        <v>80</v>
      </c>
      <c r="K205" s="9"/>
      <c r="L205" s="10" t="s">
        <v>8</v>
      </c>
      <c r="M205" s="22" t="s">
        <v>176</v>
      </c>
      <c r="N205" s="7">
        <f t="shared" si="593"/>
        <v>1135000</v>
      </c>
      <c r="O205" s="8">
        <v>243</v>
      </c>
      <c r="P205" s="25">
        <v>41182</v>
      </c>
      <c r="Q205" s="8" t="str">
        <f t="shared" si="550"/>
        <v>2DA-SEP</v>
      </c>
      <c r="R205" s="26">
        <v>0.3</v>
      </c>
      <c r="S205" s="41" t="s">
        <v>34</v>
      </c>
      <c r="T205" s="8" t="s">
        <v>352</v>
      </c>
      <c r="U205" s="8"/>
      <c r="V205" s="7">
        <v>567500</v>
      </c>
      <c r="W205" s="7">
        <f t="shared" si="512"/>
        <v>0</v>
      </c>
      <c r="X205" s="7">
        <f t="shared" si="551"/>
        <v>567500</v>
      </c>
      <c r="Y205" s="7">
        <v>0</v>
      </c>
      <c r="Z205" s="7">
        <f t="shared" si="552"/>
        <v>0</v>
      </c>
      <c r="AA205" s="148" t="str">
        <f t="shared" si="553"/>
        <v>5%</v>
      </c>
      <c r="AB205" s="148">
        <f t="shared" si="554"/>
        <v>0.95</v>
      </c>
      <c r="AC205" s="25">
        <f ca="1">TODAY()-34</f>
        <v>41088</v>
      </c>
      <c r="AD205" s="25">
        <f t="shared" ref="AD205:AE205" ca="1" si="618">TODAY()-34</f>
        <v>41088</v>
      </c>
      <c r="AE205" s="25">
        <f t="shared" ca="1" si="618"/>
        <v>41088</v>
      </c>
      <c r="AF205" s="8"/>
      <c r="AG205" s="59" t="str">
        <f t="shared" ca="1" si="556"/>
        <v>NA</v>
      </c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59" t="str">
        <f t="shared" si="605"/>
        <v>NA</v>
      </c>
      <c r="AS205" s="59" t="str">
        <f t="shared" si="606"/>
        <v/>
      </c>
      <c r="AT205" s="59"/>
      <c r="AU205" s="59" t="str">
        <f t="shared" si="534"/>
        <v>ND</v>
      </c>
      <c r="AV205" s="66"/>
      <c r="AW205" s="66"/>
      <c r="AX205" s="66"/>
      <c r="AY205" s="66"/>
      <c r="AZ205" s="8"/>
      <c r="BA205" s="8" t="s">
        <v>37</v>
      </c>
      <c r="BB205" s="8"/>
      <c r="BC205" s="8"/>
      <c r="BD205" s="8"/>
      <c r="BE205" s="8"/>
      <c r="BF205" s="8"/>
      <c r="BG205" s="8"/>
      <c r="BH205" s="8"/>
      <c r="BI205" s="8"/>
      <c r="BJ205" s="8"/>
      <c r="BK205" s="59"/>
      <c r="BL205" s="59"/>
      <c r="BM205" s="59"/>
      <c r="BN205" s="164">
        <v>0.01</v>
      </c>
      <c r="BO205" s="165">
        <f t="shared" si="557"/>
        <v>3783.3333333333335</v>
      </c>
      <c r="BP205" s="165">
        <f t="shared" ref="BP205:BQ205" si="619">BO205</f>
        <v>3783.3333333333335</v>
      </c>
      <c r="BQ205" s="165">
        <f t="shared" si="619"/>
        <v>3783.3333333333335</v>
      </c>
      <c r="BR205" s="59"/>
      <c r="BS205" s="59"/>
      <c r="BT205" s="59"/>
      <c r="BU205" s="59"/>
      <c r="BV205" s="59" t="str">
        <f t="shared" si="598"/>
        <v>ND</v>
      </c>
      <c r="BW205" s="59" t="str">
        <f t="shared" si="599"/>
        <v>ND</v>
      </c>
      <c r="BX205" s="59" t="str">
        <f t="shared" si="600"/>
        <v>ND</v>
      </c>
      <c r="BY205" s="59" t="str">
        <f t="shared" si="601"/>
        <v>ND</v>
      </c>
      <c r="BZ205" s="59" t="str">
        <f t="shared" si="536"/>
        <v>NA</v>
      </c>
      <c r="CA205" s="59" t="str">
        <f t="shared" si="537"/>
        <v/>
      </c>
      <c r="CB205" s="59" t="str">
        <f t="shared" si="538"/>
        <v>NA</v>
      </c>
      <c r="CC205" s="59" t="str">
        <f t="shared" si="539"/>
        <v/>
      </c>
      <c r="CD205" s="59" t="str">
        <f t="shared" si="540"/>
        <v>NA</v>
      </c>
      <c r="CE205" s="59" t="str">
        <f t="shared" si="541"/>
        <v/>
      </c>
      <c r="CF205" s="59" t="str">
        <f t="shared" si="542"/>
        <v>NA</v>
      </c>
      <c r="CG205" s="59" t="str">
        <f t="shared" ca="1" si="543"/>
        <v>NA</v>
      </c>
      <c r="CH205" s="59" t="str">
        <f t="shared" ca="1" si="544"/>
        <v>NA</v>
      </c>
      <c r="CI205" s="59" t="str">
        <f t="shared" ca="1" si="545"/>
        <v>DE 31 A 35 DIAS</v>
      </c>
      <c r="CJ205" s="59" t="str">
        <f t="shared" ca="1" si="546"/>
        <v>DE 31 A 35 DIAS</v>
      </c>
      <c r="CK205" s="59" t="str">
        <f t="shared" ca="1" si="547"/>
        <v>DE 31 A 35 DIAS</v>
      </c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>
        <f t="shared" si="559"/>
        <v>0</v>
      </c>
      <c r="DH205" s="8">
        <f t="shared" si="560"/>
        <v>0</v>
      </c>
      <c r="DI205" s="8">
        <f t="shared" si="561"/>
        <v>0</v>
      </c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59" t="str">
        <f t="shared" si="562"/>
        <v>NA</v>
      </c>
      <c r="DU205" s="59" t="str">
        <f t="shared" si="563"/>
        <v>NA</v>
      </c>
      <c r="DV205" s="59" t="str">
        <f t="shared" si="564"/>
        <v>NA</v>
      </c>
      <c r="DW205" s="59" t="str">
        <f t="shared" si="565"/>
        <v>NA</v>
      </c>
      <c r="DX205" s="59" t="str">
        <f t="shared" si="566"/>
        <v>NA</v>
      </c>
      <c r="DY205" s="59" t="str">
        <f t="shared" si="567"/>
        <v>NA</v>
      </c>
      <c r="DZ205" s="59" t="str">
        <f t="shared" si="568"/>
        <v>NA</v>
      </c>
      <c r="EA205" s="59" t="str">
        <f t="shared" si="569"/>
        <v>NA</v>
      </c>
      <c r="EB205" s="59" t="str">
        <f t="shared" si="570"/>
        <v>NA</v>
      </c>
      <c r="EC205" s="59" t="str">
        <f t="shared" si="571"/>
        <v>NA</v>
      </c>
      <c r="ED205" s="59" t="str">
        <f t="shared" si="572"/>
        <v/>
      </c>
      <c r="EE205" s="59" t="str">
        <f t="shared" si="573"/>
        <v/>
      </c>
      <c r="EF205" s="59" t="str">
        <f t="shared" si="574"/>
        <v/>
      </c>
      <c r="EG205" s="59" t="str">
        <f t="shared" si="575"/>
        <v/>
      </c>
      <c r="EH205" s="59" t="str">
        <f t="shared" si="576"/>
        <v/>
      </c>
      <c r="EI205" s="59" t="str">
        <f t="shared" si="577"/>
        <v/>
      </c>
      <c r="EJ205" s="59" t="str">
        <f t="shared" si="578"/>
        <v/>
      </c>
      <c r="EK205" s="59" t="str">
        <f t="shared" si="579"/>
        <v/>
      </c>
      <c r="EL205" s="59" t="str">
        <f t="shared" si="580"/>
        <v/>
      </c>
      <c r="EM205" s="59" t="str">
        <f t="shared" si="581"/>
        <v/>
      </c>
      <c r="EN205" s="59" t="str">
        <f t="shared" si="582"/>
        <v/>
      </c>
      <c r="EO205" s="59" t="str">
        <f t="shared" si="583"/>
        <v/>
      </c>
      <c r="EP205" s="59" t="str">
        <f t="shared" si="584"/>
        <v/>
      </c>
      <c r="EQ205" s="59" t="str">
        <f t="shared" si="585"/>
        <v/>
      </c>
      <c r="ER205" s="59" t="str">
        <f t="shared" si="586"/>
        <v/>
      </c>
      <c r="ES205" s="59" t="str">
        <f t="shared" si="587"/>
        <v/>
      </c>
      <c r="ET205" s="59" t="str">
        <f t="shared" si="588"/>
        <v/>
      </c>
      <c r="EU205" s="59" t="str">
        <f t="shared" si="589"/>
        <v/>
      </c>
      <c r="EV205" s="59" t="str">
        <f t="shared" si="590"/>
        <v/>
      </c>
      <c r="EW205" s="59" t="str">
        <f t="shared" si="591"/>
        <v/>
      </c>
      <c r="EX205" s="56">
        <f t="shared" si="548"/>
        <v>1135000</v>
      </c>
    </row>
    <row r="206" spans="1:154" x14ac:dyDescent="0.25">
      <c r="A206" s="2">
        <f t="shared" si="592"/>
        <v>205</v>
      </c>
      <c r="B206" s="2" t="s">
        <v>6</v>
      </c>
      <c r="C206" s="2" t="str">
        <f t="shared" si="549"/>
        <v>030411</v>
      </c>
      <c r="D206" s="2">
        <v>3</v>
      </c>
      <c r="E206" s="2">
        <v>4</v>
      </c>
      <c r="F206" s="2">
        <v>11</v>
      </c>
      <c r="G206" s="11" t="s">
        <v>21</v>
      </c>
      <c r="H206" s="4"/>
      <c r="I206" s="42" t="s">
        <v>58</v>
      </c>
      <c r="J206" s="9">
        <v>108.857</v>
      </c>
      <c r="K206" s="5"/>
      <c r="L206" s="6" t="s">
        <v>306</v>
      </c>
      <c r="M206" s="22" t="s">
        <v>176</v>
      </c>
      <c r="N206" s="7">
        <f t="shared" si="593"/>
        <v>1235656.6000000001</v>
      </c>
      <c r="O206" s="8">
        <v>244</v>
      </c>
      <c r="P206" s="25">
        <v>41182</v>
      </c>
      <c r="Q206" s="8" t="str">
        <f t="shared" si="550"/>
        <v>2DA-SEP</v>
      </c>
      <c r="R206" s="26">
        <v>0.3</v>
      </c>
      <c r="S206" s="41" t="s">
        <v>34</v>
      </c>
      <c r="T206" s="8" t="s">
        <v>352</v>
      </c>
      <c r="U206" s="8"/>
      <c r="V206" s="7">
        <v>617828.30000000005</v>
      </c>
      <c r="W206" s="7">
        <f t="shared" si="512"/>
        <v>0</v>
      </c>
      <c r="X206" s="7">
        <f t="shared" si="551"/>
        <v>617828.30000000005</v>
      </c>
      <c r="Y206" s="7">
        <v>0</v>
      </c>
      <c r="Z206" s="7">
        <f t="shared" si="552"/>
        <v>0</v>
      </c>
      <c r="AA206" s="148" t="str">
        <f t="shared" si="553"/>
        <v>5%</v>
      </c>
      <c r="AB206" s="148">
        <f t="shared" si="554"/>
        <v>0.95</v>
      </c>
      <c r="AC206" s="25">
        <f ca="1">TODAY()-39</f>
        <v>41083</v>
      </c>
      <c r="AD206" s="25">
        <f t="shared" ref="AD206:AE206" ca="1" si="620">TODAY()-39</f>
        <v>41083</v>
      </c>
      <c r="AE206" s="25">
        <f t="shared" ca="1" si="620"/>
        <v>41083</v>
      </c>
      <c r="AF206" s="8"/>
      <c r="AG206" s="59" t="str">
        <f t="shared" ca="1" si="556"/>
        <v>NA</v>
      </c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59" t="str">
        <f t="shared" si="605"/>
        <v>NA</v>
      </c>
      <c r="AS206" s="59" t="str">
        <f t="shared" si="606"/>
        <v/>
      </c>
      <c r="AT206" s="59"/>
      <c r="AU206" s="59" t="str">
        <f t="shared" si="534"/>
        <v>ND</v>
      </c>
      <c r="AV206" s="66"/>
      <c r="AW206" s="66"/>
      <c r="AX206" s="66"/>
      <c r="AY206" s="66"/>
      <c r="AZ206" s="8"/>
      <c r="BA206" s="8" t="s">
        <v>37</v>
      </c>
      <c r="BB206" s="8"/>
      <c r="BC206" s="8"/>
      <c r="BD206" s="8"/>
      <c r="BE206" s="8"/>
      <c r="BF206" s="8"/>
      <c r="BG206" s="8"/>
      <c r="BH206" s="8"/>
      <c r="BI206" s="8"/>
      <c r="BJ206" s="8"/>
      <c r="BK206" s="59"/>
      <c r="BL206" s="59"/>
      <c r="BM206" s="59"/>
      <c r="BN206" s="164">
        <v>0.01</v>
      </c>
      <c r="BO206" s="165">
        <f t="shared" si="557"/>
        <v>4118.8553333333339</v>
      </c>
      <c r="BP206" s="165">
        <f t="shared" ref="BP206:BQ206" si="621">BO206</f>
        <v>4118.8553333333339</v>
      </c>
      <c r="BQ206" s="165">
        <f t="shared" si="621"/>
        <v>4118.8553333333339</v>
      </c>
      <c r="BR206" s="59"/>
      <c r="BS206" s="59"/>
      <c r="BT206" s="59"/>
      <c r="BU206" s="59"/>
      <c r="BV206" s="59" t="str">
        <f t="shared" si="598"/>
        <v>ND</v>
      </c>
      <c r="BW206" s="59" t="str">
        <f t="shared" si="599"/>
        <v>ND</v>
      </c>
      <c r="BX206" s="59" t="str">
        <f t="shared" si="600"/>
        <v>ND</v>
      </c>
      <c r="BY206" s="59" t="str">
        <f t="shared" si="601"/>
        <v>ND</v>
      </c>
      <c r="BZ206" s="59" t="str">
        <f t="shared" si="536"/>
        <v>NA</v>
      </c>
      <c r="CA206" s="59" t="str">
        <f t="shared" si="537"/>
        <v/>
      </c>
      <c r="CB206" s="59" t="str">
        <f t="shared" si="538"/>
        <v>NA</v>
      </c>
      <c r="CC206" s="59" t="str">
        <f t="shared" si="539"/>
        <v/>
      </c>
      <c r="CD206" s="59" t="str">
        <f t="shared" si="540"/>
        <v>NA</v>
      </c>
      <c r="CE206" s="59" t="str">
        <f t="shared" si="541"/>
        <v/>
      </c>
      <c r="CF206" s="59" t="str">
        <f t="shared" si="542"/>
        <v>NA</v>
      </c>
      <c r="CG206" s="59" t="str">
        <f t="shared" ca="1" si="543"/>
        <v>NA</v>
      </c>
      <c r="CH206" s="59" t="str">
        <f t="shared" ca="1" si="544"/>
        <v>NA</v>
      </c>
      <c r="CI206" s="59" t="str">
        <f t="shared" ca="1" si="545"/>
        <v>DE 36 A 45 DIAS</v>
      </c>
      <c r="CJ206" s="59" t="str">
        <f t="shared" ca="1" si="546"/>
        <v>DE 36 A 45 DIAS</v>
      </c>
      <c r="CK206" s="59" t="str">
        <f t="shared" ca="1" si="547"/>
        <v>DE 36 A 45 DIAS</v>
      </c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>
        <f t="shared" si="559"/>
        <v>0</v>
      </c>
      <c r="DH206" s="8">
        <f t="shared" si="560"/>
        <v>0</v>
      </c>
      <c r="DI206" s="8">
        <f t="shared" si="561"/>
        <v>0</v>
      </c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59" t="str">
        <f t="shared" si="562"/>
        <v>NA</v>
      </c>
      <c r="DU206" s="59" t="str">
        <f t="shared" si="563"/>
        <v>NA</v>
      </c>
      <c r="DV206" s="59" t="str">
        <f t="shared" si="564"/>
        <v>NA</v>
      </c>
      <c r="DW206" s="59" t="str">
        <f t="shared" si="565"/>
        <v>NA</v>
      </c>
      <c r="DX206" s="59" t="str">
        <f t="shared" si="566"/>
        <v>NA</v>
      </c>
      <c r="DY206" s="59" t="str">
        <f t="shared" si="567"/>
        <v>NA</v>
      </c>
      <c r="DZ206" s="59" t="str">
        <f t="shared" si="568"/>
        <v>NA</v>
      </c>
      <c r="EA206" s="59" t="str">
        <f t="shared" si="569"/>
        <v>NA</v>
      </c>
      <c r="EB206" s="59" t="str">
        <f t="shared" si="570"/>
        <v>NA</v>
      </c>
      <c r="EC206" s="59" t="str">
        <f t="shared" si="571"/>
        <v>NA</v>
      </c>
      <c r="ED206" s="59" t="str">
        <f t="shared" si="572"/>
        <v/>
      </c>
      <c r="EE206" s="59" t="str">
        <f t="shared" si="573"/>
        <v/>
      </c>
      <c r="EF206" s="59" t="str">
        <f t="shared" si="574"/>
        <v/>
      </c>
      <c r="EG206" s="59" t="str">
        <f t="shared" si="575"/>
        <v/>
      </c>
      <c r="EH206" s="59" t="str">
        <f t="shared" si="576"/>
        <v/>
      </c>
      <c r="EI206" s="59" t="str">
        <f t="shared" si="577"/>
        <v/>
      </c>
      <c r="EJ206" s="59" t="str">
        <f t="shared" si="578"/>
        <v/>
      </c>
      <c r="EK206" s="59" t="str">
        <f t="shared" si="579"/>
        <v/>
      </c>
      <c r="EL206" s="59" t="str">
        <f t="shared" si="580"/>
        <v/>
      </c>
      <c r="EM206" s="59" t="str">
        <f t="shared" si="581"/>
        <v/>
      </c>
      <c r="EN206" s="59" t="str">
        <f t="shared" si="582"/>
        <v/>
      </c>
      <c r="EO206" s="59" t="str">
        <f t="shared" si="583"/>
        <v/>
      </c>
      <c r="EP206" s="59" t="str">
        <f t="shared" si="584"/>
        <v/>
      </c>
      <c r="EQ206" s="59" t="str">
        <f t="shared" si="585"/>
        <v/>
      </c>
      <c r="ER206" s="59" t="str">
        <f t="shared" si="586"/>
        <v/>
      </c>
      <c r="ES206" s="59" t="str">
        <f t="shared" si="587"/>
        <v/>
      </c>
      <c r="ET206" s="59" t="str">
        <f t="shared" si="588"/>
        <v/>
      </c>
      <c r="EU206" s="59" t="str">
        <f t="shared" si="589"/>
        <v/>
      </c>
      <c r="EV206" s="59" t="str">
        <f t="shared" si="590"/>
        <v/>
      </c>
      <c r="EW206" s="59" t="str">
        <f t="shared" si="591"/>
        <v/>
      </c>
      <c r="EX206" s="56">
        <f t="shared" si="548"/>
        <v>1235656.6000000001</v>
      </c>
    </row>
    <row r="207" spans="1:154" x14ac:dyDescent="0.25">
      <c r="A207" s="2">
        <f t="shared" si="592"/>
        <v>206</v>
      </c>
      <c r="B207" s="2" t="s">
        <v>6</v>
      </c>
      <c r="C207" s="2" t="str">
        <f t="shared" si="549"/>
        <v>030412</v>
      </c>
      <c r="D207" s="2">
        <v>3</v>
      </c>
      <c r="E207" s="2">
        <v>4</v>
      </c>
      <c r="F207" s="2">
        <v>12</v>
      </c>
      <c r="G207" s="11" t="s">
        <v>21</v>
      </c>
      <c r="H207" s="4"/>
      <c r="I207" s="42" t="s">
        <v>58</v>
      </c>
      <c r="J207" s="9">
        <v>116.286</v>
      </c>
      <c r="K207" s="5"/>
      <c r="L207" s="6" t="s">
        <v>306</v>
      </c>
      <c r="M207" s="22" t="s">
        <v>176</v>
      </c>
      <c r="N207" s="7">
        <f t="shared" si="593"/>
        <v>1263886.8</v>
      </c>
      <c r="O207" s="8">
        <v>245</v>
      </c>
      <c r="P207" s="25">
        <v>41182</v>
      </c>
      <c r="Q207" s="8" t="str">
        <f t="shared" si="550"/>
        <v>2DA-SEP</v>
      </c>
      <c r="R207" s="26">
        <v>0.3</v>
      </c>
      <c r="S207" s="41" t="s">
        <v>34</v>
      </c>
      <c r="T207" s="8" t="s">
        <v>352</v>
      </c>
      <c r="U207" s="8"/>
      <c r="V207" s="7">
        <v>631943.4</v>
      </c>
      <c r="W207" s="7">
        <f t="shared" si="512"/>
        <v>0</v>
      </c>
      <c r="X207" s="7">
        <f t="shared" si="551"/>
        <v>631943.4</v>
      </c>
      <c r="Y207" s="7">
        <v>0</v>
      </c>
      <c r="Z207" s="7">
        <f t="shared" si="552"/>
        <v>0</v>
      </c>
      <c r="AA207" s="148" t="str">
        <f t="shared" si="553"/>
        <v>5%</v>
      </c>
      <c r="AB207" s="148">
        <f t="shared" si="554"/>
        <v>0.95</v>
      </c>
      <c r="AC207" s="25">
        <f ca="1">TODAY()-45</f>
        <v>41077</v>
      </c>
      <c r="AD207" s="25">
        <f t="shared" ref="AD207:AE207" ca="1" si="622">TODAY()-45</f>
        <v>41077</v>
      </c>
      <c r="AE207" s="25">
        <f t="shared" ca="1" si="622"/>
        <v>41077</v>
      </c>
      <c r="AF207" s="8"/>
      <c r="AG207" s="59" t="str">
        <f t="shared" ca="1" si="556"/>
        <v>NA</v>
      </c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59" t="str">
        <f t="shared" si="605"/>
        <v>NA</v>
      </c>
      <c r="AS207" s="59" t="str">
        <f t="shared" si="606"/>
        <v/>
      </c>
      <c r="AT207" s="59"/>
      <c r="AU207" s="59" t="str">
        <f t="shared" si="534"/>
        <v>ND</v>
      </c>
      <c r="AV207" s="66"/>
      <c r="AW207" s="66"/>
      <c r="AX207" s="66"/>
      <c r="AY207" s="66"/>
      <c r="AZ207" s="8"/>
      <c r="BA207" s="8" t="s">
        <v>37</v>
      </c>
      <c r="BB207" s="8"/>
      <c r="BC207" s="8"/>
      <c r="BD207" s="8"/>
      <c r="BE207" s="8"/>
      <c r="BF207" s="8"/>
      <c r="BG207" s="8"/>
      <c r="BH207" s="8"/>
      <c r="BI207" s="8"/>
      <c r="BJ207" s="8"/>
      <c r="BK207" s="59"/>
      <c r="BL207" s="59"/>
      <c r="BM207" s="59"/>
      <c r="BN207" s="164">
        <v>0.01</v>
      </c>
      <c r="BO207" s="165">
        <f t="shared" si="557"/>
        <v>4212.9560000000001</v>
      </c>
      <c r="BP207" s="165">
        <f t="shared" ref="BP207:BQ207" si="623">BO207</f>
        <v>4212.9560000000001</v>
      </c>
      <c r="BQ207" s="165">
        <f t="shared" si="623"/>
        <v>4212.9560000000001</v>
      </c>
      <c r="BR207" s="59"/>
      <c r="BS207" s="59"/>
      <c r="BT207" s="59"/>
      <c r="BU207" s="59"/>
      <c r="BV207" s="59" t="str">
        <f t="shared" si="598"/>
        <v>ND</v>
      </c>
      <c r="BW207" s="59" t="str">
        <f t="shared" si="599"/>
        <v>ND</v>
      </c>
      <c r="BX207" s="59" t="str">
        <f t="shared" si="600"/>
        <v>ND</v>
      </c>
      <c r="BY207" s="59" t="str">
        <f t="shared" si="601"/>
        <v>ND</v>
      </c>
      <c r="BZ207" s="59" t="str">
        <f t="shared" si="536"/>
        <v>NA</v>
      </c>
      <c r="CA207" s="59" t="str">
        <f t="shared" si="537"/>
        <v/>
      </c>
      <c r="CB207" s="59" t="str">
        <f t="shared" si="538"/>
        <v>NA</v>
      </c>
      <c r="CC207" s="59" t="str">
        <f t="shared" si="539"/>
        <v/>
      </c>
      <c r="CD207" s="59" t="str">
        <f t="shared" si="540"/>
        <v>NA</v>
      </c>
      <c r="CE207" s="59" t="str">
        <f t="shared" si="541"/>
        <v/>
      </c>
      <c r="CF207" s="59" t="str">
        <f t="shared" si="542"/>
        <v>NA</v>
      </c>
      <c r="CG207" s="59" t="str">
        <f t="shared" ca="1" si="543"/>
        <v>NA</v>
      </c>
      <c r="CH207" s="59" t="str">
        <f t="shared" ca="1" si="544"/>
        <v>NA</v>
      </c>
      <c r="CI207" s="59" t="str">
        <f t="shared" ca="1" si="545"/>
        <v>DE 36 A 45 DIAS</v>
      </c>
      <c r="CJ207" s="59" t="str">
        <f t="shared" ca="1" si="546"/>
        <v>DE 36 A 45 DIAS</v>
      </c>
      <c r="CK207" s="59" t="str">
        <f t="shared" ca="1" si="547"/>
        <v>DE 36 A 45 DIAS</v>
      </c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>
        <f t="shared" si="559"/>
        <v>0</v>
      </c>
      <c r="DH207" s="8">
        <f t="shared" si="560"/>
        <v>0</v>
      </c>
      <c r="DI207" s="8">
        <f t="shared" si="561"/>
        <v>0</v>
      </c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59" t="str">
        <f t="shared" si="562"/>
        <v>NA</v>
      </c>
      <c r="DU207" s="59" t="str">
        <f t="shared" si="563"/>
        <v>NA</v>
      </c>
      <c r="DV207" s="59" t="str">
        <f t="shared" si="564"/>
        <v>NA</v>
      </c>
      <c r="DW207" s="59" t="str">
        <f t="shared" si="565"/>
        <v>NA</v>
      </c>
      <c r="DX207" s="59" t="str">
        <f t="shared" si="566"/>
        <v>NA</v>
      </c>
      <c r="DY207" s="59" t="str">
        <f t="shared" si="567"/>
        <v>NA</v>
      </c>
      <c r="DZ207" s="59" t="str">
        <f t="shared" si="568"/>
        <v>NA</v>
      </c>
      <c r="EA207" s="59" t="str">
        <f t="shared" si="569"/>
        <v>NA</v>
      </c>
      <c r="EB207" s="59" t="str">
        <f t="shared" si="570"/>
        <v>NA</v>
      </c>
      <c r="EC207" s="59" t="str">
        <f t="shared" si="571"/>
        <v>NA</v>
      </c>
      <c r="ED207" s="59" t="str">
        <f t="shared" si="572"/>
        <v/>
      </c>
      <c r="EE207" s="59" t="str">
        <f t="shared" si="573"/>
        <v/>
      </c>
      <c r="EF207" s="59" t="str">
        <f t="shared" si="574"/>
        <v/>
      </c>
      <c r="EG207" s="59" t="str">
        <f t="shared" si="575"/>
        <v/>
      </c>
      <c r="EH207" s="59" t="str">
        <f t="shared" si="576"/>
        <v/>
      </c>
      <c r="EI207" s="59" t="str">
        <f t="shared" si="577"/>
        <v/>
      </c>
      <c r="EJ207" s="59" t="str">
        <f t="shared" si="578"/>
        <v/>
      </c>
      <c r="EK207" s="59" t="str">
        <f t="shared" si="579"/>
        <v/>
      </c>
      <c r="EL207" s="59" t="str">
        <f t="shared" si="580"/>
        <v/>
      </c>
      <c r="EM207" s="59" t="str">
        <f t="shared" si="581"/>
        <v/>
      </c>
      <c r="EN207" s="59" t="str">
        <f t="shared" si="582"/>
        <v/>
      </c>
      <c r="EO207" s="59" t="str">
        <f t="shared" si="583"/>
        <v/>
      </c>
      <c r="EP207" s="59" t="str">
        <f t="shared" si="584"/>
        <v/>
      </c>
      <c r="EQ207" s="59" t="str">
        <f t="shared" si="585"/>
        <v/>
      </c>
      <c r="ER207" s="59" t="str">
        <f t="shared" si="586"/>
        <v/>
      </c>
      <c r="ES207" s="59" t="str">
        <f t="shared" si="587"/>
        <v/>
      </c>
      <c r="ET207" s="59" t="str">
        <f t="shared" si="588"/>
        <v/>
      </c>
      <c r="EU207" s="59" t="str">
        <f t="shared" si="589"/>
        <v/>
      </c>
      <c r="EV207" s="59" t="str">
        <f t="shared" si="590"/>
        <v/>
      </c>
      <c r="EW207" s="59" t="str">
        <f t="shared" si="591"/>
        <v/>
      </c>
      <c r="EX207" s="56">
        <f t="shared" si="548"/>
        <v>1263886.8</v>
      </c>
    </row>
    <row r="208" spans="1:154" x14ac:dyDescent="0.25">
      <c r="A208" s="2">
        <f t="shared" si="592"/>
        <v>207</v>
      </c>
      <c r="B208" s="2" t="s">
        <v>6</v>
      </c>
      <c r="C208" s="2" t="str">
        <f t="shared" si="549"/>
        <v>030413</v>
      </c>
      <c r="D208" s="2">
        <v>3</v>
      </c>
      <c r="E208" s="2">
        <v>4</v>
      </c>
      <c r="F208" s="2">
        <v>13</v>
      </c>
      <c r="G208" s="11" t="s">
        <v>21</v>
      </c>
      <c r="H208" s="4"/>
      <c r="I208" s="42" t="s">
        <v>58</v>
      </c>
      <c r="J208" s="9">
        <v>80</v>
      </c>
      <c r="K208" s="5"/>
      <c r="L208" s="6" t="s">
        <v>306</v>
      </c>
      <c r="M208" s="22" t="s">
        <v>176</v>
      </c>
      <c r="N208" s="7">
        <f t="shared" si="593"/>
        <v>1126000</v>
      </c>
      <c r="O208" s="8">
        <v>246</v>
      </c>
      <c r="P208" s="25">
        <v>41182</v>
      </c>
      <c r="Q208" s="8" t="str">
        <f t="shared" si="550"/>
        <v>2DA-SEP</v>
      </c>
      <c r="R208" s="26">
        <v>0.3</v>
      </c>
      <c r="S208" s="41" t="s">
        <v>34</v>
      </c>
      <c r="T208" s="8" t="s">
        <v>352</v>
      </c>
      <c r="U208" s="8"/>
      <c r="V208" s="7">
        <v>563000</v>
      </c>
      <c r="W208" s="7">
        <f t="shared" si="512"/>
        <v>0</v>
      </c>
      <c r="X208" s="7">
        <f t="shared" si="551"/>
        <v>563000</v>
      </c>
      <c r="Y208" s="7">
        <v>0</v>
      </c>
      <c r="Z208" s="7">
        <f t="shared" si="552"/>
        <v>0</v>
      </c>
      <c r="AA208" s="148" t="str">
        <f t="shared" si="553"/>
        <v>5%</v>
      </c>
      <c r="AB208" s="148">
        <f t="shared" si="554"/>
        <v>0.95</v>
      </c>
      <c r="AC208" s="25">
        <f ca="1">TODAY()-50</f>
        <v>41072</v>
      </c>
      <c r="AD208" s="25">
        <f t="shared" ref="AD208:AE208" ca="1" si="624">TODAY()-50</f>
        <v>41072</v>
      </c>
      <c r="AE208" s="25">
        <f t="shared" ca="1" si="624"/>
        <v>41072</v>
      </c>
      <c r="AF208" s="8"/>
      <c r="AG208" s="59" t="str">
        <f t="shared" ca="1" si="556"/>
        <v>NA</v>
      </c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59" t="str">
        <f t="shared" si="605"/>
        <v>NA</v>
      </c>
      <c r="AS208" s="59" t="str">
        <f t="shared" si="606"/>
        <v/>
      </c>
      <c r="AT208" s="59"/>
      <c r="AU208" s="59" t="str">
        <f t="shared" si="534"/>
        <v>ND</v>
      </c>
      <c r="AV208" s="66"/>
      <c r="AW208" s="66"/>
      <c r="AX208" s="66"/>
      <c r="AY208" s="66"/>
      <c r="AZ208" s="8"/>
      <c r="BA208" s="8" t="s">
        <v>37</v>
      </c>
      <c r="BB208" s="8"/>
      <c r="BC208" s="8"/>
      <c r="BD208" s="8"/>
      <c r="BE208" s="8"/>
      <c r="BF208" s="8"/>
      <c r="BG208" s="8"/>
      <c r="BH208" s="8"/>
      <c r="BI208" s="8"/>
      <c r="BJ208" s="8"/>
      <c r="BK208" s="59"/>
      <c r="BL208" s="59"/>
      <c r="BM208" s="59"/>
      <c r="BN208" s="164">
        <v>0.01</v>
      </c>
      <c r="BO208" s="165">
        <f t="shared" si="557"/>
        <v>3753.3333333333335</v>
      </c>
      <c r="BP208" s="165">
        <f t="shared" ref="BP208:BQ208" si="625">BO208</f>
        <v>3753.3333333333335</v>
      </c>
      <c r="BQ208" s="165">
        <f t="shared" si="625"/>
        <v>3753.3333333333335</v>
      </c>
      <c r="BR208" s="59"/>
      <c r="BS208" s="59"/>
      <c r="BT208" s="59"/>
      <c r="BU208" s="59"/>
      <c r="BV208" s="59" t="str">
        <f t="shared" si="598"/>
        <v>ND</v>
      </c>
      <c r="BW208" s="59" t="str">
        <f t="shared" si="599"/>
        <v>ND</v>
      </c>
      <c r="BX208" s="59" t="str">
        <f t="shared" si="600"/>
        <v>ND</v>
      </c>
      <c r="BY208" s="59" t="str">
        <f t="shared" si="601"/>
        <v>ND</v>
      </c>
      <c r="BZ208" s="59" t="str">
        <f t="shared" si="536"/>
        <v>NA</v>
      </c>
      <c r="CA208" s="59" t="str">
        <f t="shared" si="537"/>
        <v/>
      </c>
      <c r="CB208" s="59" t="str">
        <f t="shared" si="538"/>
        <v>NA</v>
      </c>
      <c r="CC208" s="59" t="str">
        <f t="shared" si="539"/>
        <v/>
      </c>
      <c r="CD208" s="59" t="str">
        <f t="shared" si="540"/>
        <v>NA</v>
      </c>
      <c r="CE208" s="59" t="str">
        <f t="shared" si="541"/>
        <v/>
      </c>
      <c r="CF208" s="59" t="str">
        <f t="shared" si="542"/>
        <v>NA</v>
      </c>
      <c r="CG208" s="59" t="str">
        <f t="shared" ca="1" si="543"/>
        <v>NA</v>
      </c>
      <c r="CH208" s="59" t="str">
        <f t="shared" ca="1" si="544"/>
        <v>NA</v>
      </c>
      <c r="CI208" s="59" t="str">
        <f t="shared" ca="1" si="545"/>
        <v>MAYOR A 45 DIAS</v>
      </c>
      <c r="CJ208" s="59" t="str">
        <f t="shared" ca="1" si="546"/>
        <v>MAYOR A 45 DIAS</v>
      </c>
      <c r="CK208" s="59" t="str">
        <f t="shared" ca="1" si="547"/>
        <v>MAYOR A 45 DIAS</v>
      </c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>
        <f t="shared" si="559"/>
        <v>0</v>
      </c>
      <c r="DH208" s="8">
        <f t="shared" si="560"/>
        <v>0</v>
      </c>
      <c r="DI208" s="8">
        <f t="shared" si="561"/>
        <v>0</v>
      </c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59" t="str">
        <f t="shared" si="562"/>
        <v>NA</v>
      </c>
      <c r="DU208" s="59" t="str">
        <f t="shared" si="563"/>
        <v>NA</v>
      </c>
      <c r="DV208" s="59" t="str">
        <f t="shared" si="564"/>
        <v>NA</v>
      </c>
      <c r="DW208" s="59" t="str">
        <f t="shared" si="565"/>
        <v>NA</v>
      </c>
      <c r="DX208" s="59" t="str">
        <f t="shared" si="566"/>
        <v>NA</v>
      </c>
      <c r="DY208" s="59" t="str">
        <f t="shared" si="567"/>
        <v>NA</v>
      </c>
      <c r="DZ208" s="59" t="str">
        <f t="shared" si="568"/>
        <v>NA</v>
      </c>
      <c r="EA208" s="59" t="str">
        <f t="shared" si="569"/>
        <v>NA</v>
      </c>
      <c r="EB208" s="59" t="str">
        <f t="shared" si="570"/>
        <v>NA</v>
      </c>
      <c r="EC208" s="59" t="str">
        <f t="shared" si="571"/>
        <v>NA</v>
      </c>
      <c r="ED208" s="59" t="str">
        <f t="shared" si="572"/>
        <v/>
      </c>
      <c r="EE208" s="59" t="str">
        <f t="shared" si="573"/>
        <v/>
      </c>
      <c r="EF208" s="59" t="str">
        <f t="shared" si="574"/>
        <v/>
      </c>
      <c r="EG208" s="59" t="str">
        <f t="shared" si="575"/>
        <v/>
      </c>
      <c r="EH208" s="59" t="str">
        <f t="shared" si="576"/>
        <v/>
      </c>
      <c r="EI208" s="59" t="str">
        <f t="shared" si="577"/>
        <v/>
      </c>
      <c r="EJ208" s="59" t="str">
        <f t="shared" si="578"/>
        <v/>
      </c>
      <c r="EK208" s="59" t="str">
        <f t="shared" si="579"/>
        <v/>
      </c>
      <c r="EL208" s="59" t="str">
        <f t="shared" si="580"/>
        <v/>
      </c>
      <c r="EM208" s="59" t="str">
        <f t="shared" si="581"/>
        <v/>
      </c>
      <c r="EN208" s="59" t="str">
        <f t="shared" si="582"/>
        <v/>
      </c>
      <c r="EO208" s="59" t="str">
        <f t="shared" si="583"/>
        <v/>
      </c>
      <c r="EP208" s="59" t="str">
        <f t="shared" si="584"/>
        <v/>
      </c>
      <c r="EQ208" s="59" t="str">
        <f t="shared" si="585"/>
        <v/>
      </c>
      <c r="ER208" s="59" t="str">
        <f t="shared" si="586"/>
        <v/>
      </c>
      <c r="ES208" s="59" t="str">
        <f t="shared" si="587"/>
        <v/>
      </c>
      <c r="ET208" s="59" t="str">
        <f t="shared" si="588"/>
        <v/>
      </c>
      <c r="EU208" s="59" t="str">
        <f t="shared" si="589"/>
        <v/>
      </c>
      <c r="EV208" s="59" t="str">
        <f t="shared" si="590"/>
        <v/>
      </c>
      <c r="EW208" s="59" t="str">
        <f t="shared" si="591"/>
        <v/>
      </c>
      <c r="EX208" s="56">
        <f t="shared" si="548"/>
        <v>1126000</v>
      </c>
    </row>
    <row r="209" spans="1:154" x14ac:dyDescent="0.25">
      <c r="A209" s="2">
        <f t="shared" si="592"/>
        <v>208</v>
      </c>
      <c r="B209" s="2" t="s">
        <v>6</v>
      </c>
      <c r="C209" s="2" t="str">
        <f t="shared" si="549"/>
        <v>030414</v>
      </c>
      <c r="D209" s="2">
        <v>3</v>
      </c>
      <c r="E209" s="2">
        <v>4</v>
      </c>
      <c r="F209" s="2">
        <v>14</v>
      </c>
      <c r="G209" s="11" t="s">
        <v>21</v>
      </c>
      <c r="H209" s="4"/>
      <c r="I209" s="42" t="s">
        <v>58</v>
      </c>
      <c r="J209" s="9">
        <v>80</v>
      </c>
      <c r="K209" s="9"/>
      <c r="L209" s="10" t="s">
        <v>8</v>
      </c>
      <c r="M209" s="22" t="s">
        <v>176</v>
      </c>
      <c r="N209" s="7">
        <f t="shared" si="593"/>
        <v>1135000</v>
      </c>
      <c r="O209" s="8">
        <v>247</v>
      </c>
      <c r="P209" s="25">
        <v>41182</v>
      </c>
      <c r="Q209" s="8" t="str">
        <f t="shared" si="550"/>
        <v>2DA-SEP</v>
      </c>
      <c r="R209" s="26">
        <v>0.3</v>
      </c>
      <c r="S209" s="41" t="s">
        <v>34</v>
      </c>
      <c r="T209" s="8" t="s">
        <v>352</v>
      </c>
      <c r="U209" s="8"/>
      <c r="V209" s="7">
        <v>567500</v>
      </c>
      <c r="W209" s="7">
        <f t="shared" si="512"/>
        <v>0</v>
      </c>
      <c r="X209" s="7">
        <f t="shared" si="551"/>
        <v>567500</v>
      </c>
      <c r="Y209" s="7">
        <v>0</v>
      </c>
      <c r="Z209" s="7">
        <f t="shared" si="552"/>
        <v>0</v>
      </c>
      <c r="AA209" s="148" t="str">
        <f t="shared" si="553"/>
        <v>5%</v>
      </c>
      <c r="AB209" s="148">
        <f t="shared" si="554"/>
        <v>0.95</v>
      </c>
      <c r="AC209" s="25">
        <f ca="1">TODAY()-4</f>
        <v>41118</v>
      </c>
      <c r="AD209" s="25">
        <f t="shared" ref="AD209:AE209" ca="1" si="626">TODAY()-4</f>
        <v>41118</v>
      </c>
      <c r="AE209" s="25">
        <f t="shared" ca="1" si="626"/>
        <v>41118</v>
      </c>
      <c r="AF209" s="8"/>
      <c r="AG209" s="59" t="str">
        <f t="shared" ca="1" si="556"/>
        <v>NA</v>
      </c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59" t="str">
        <f t="shared" si="605"/>
        <v>NA</v>
      </c>
      <c r="AS209" s="59" t="str">
        <f t="shared" si="606"/>
        <v/>
      </c>
      <c r="AT209" s="59"/>
      <c r="AU209" s="59" t="str">
        <f t="shared" si="534"/>
        <v>ND</v>
      </c>
      <c r="AV209" s="66"/>
      <c r="AW209" s="66"/>
      <c r="AX209" s="66"/>
      <c r="AY209" s="66"/>
      <c r="AZ209" s="8"/>
      <c r="BA209" s="8" t="s">
        <v>37</v>
      </c>
      <c r="BB209" s="8"/>
      <c r="BC209" s="8"/>
      <c r="BD209" s="8"/>
      <c r="BE209" s="8"/>
      <c r="BF209" s="8"/>
      <c r="BG209" s="8"/>
      <c r="BH209" s="8"/>
      <c r="BI209" s="8"/>
      <c r="BJ209" s="8"/>
      <c r="BK209" s="59"/>
      <c r="BL209" s="59"/>
      <c r="BM209" s="59"/>
      <c r="BN209" s="164">
        <v>0.01</v>
      </c>
      <c r="BO209" s="165">
        <f t="shared" si="557"/>
        <v>3783.3333333333335</v>
      </c>
      <c r="BP209" s="165">
        <f t="shared" ref="BP209:BQ209" si="627">BO209</f>
        <v>3783.3333333333335</v>
      </c>
      <c r="BQ209" s="165">
        <f t="shared" si="627"/>
        <v>3783.3333333333335</v>
      </c>
      <c r="BR209" s="59"/>
      <c r="BS209" s="59"/>
      <c r="BT209" s="59"/>
      <c r="BU209" s="59"/>
      <c r="BV209" s="59" t="str">
        <f t="shared" si="598"/>
        <v>ND</v>
      </c>
      <c r="BW209" s="59" t="str">
        <f t="shared" si="599"/>
        <v>ND</v>
      </c>
      <c r="BX209" s="59" t="str">
        <f t="shared" si="600"/>
        <v>ND</v>
      </c>
      <c r="BY209" s="59" t="str">
        <f t="shared" si="601"/>
        <v>ND</v>
      </c>
      <c r="BZ209" s="59" t="str">
        <f t="shared" si="536"/>
        <v>NA</v>
      </c>
      <c r="CA209" s="59" t="str">
        <f t="shared" si="537"/>
        <v/>
      </c>
      <c r="CB209" s="59" t="str">
        <f t="shared" si="538"/>
        <v>NA</v>
      </c>
      <c r="CC209" s="59" t="str">
        <f t="shared" si="539"/>
        <v/>
      </c>
      <c r="CD209" s="59" t="str">
        <f t="shared" si="540"/>
        <v>NA</v>
      </c>
      <c r="CE209" s="59" t="str">
        <f t="shared" si="541"/>
        <v/>
      </c>
      <c r="CF209" s="59" t="str">
        <f t="shared" si="542"/>
        <v>NA</v>
      </c>
      <c r="CG209" s="59" t="str">
        <f t="shared" ca="1" si="543"/>
        <v>NA</v>
      </c>
      <c r="CH209" s="59" t="str">
        <f t="shared" ca="1" si="544"/>
        <v>NA</v>
      </c>
      <c r="CI209" s="59" t="str">
        <f t="shared" ca="1" si="545"/>
        <v>HASTA 5 DIAS</v>
      </c>
      <c r="CJ209" s="59" t="str">
        <f t="shared" ca="1" si="546"/>
        <v>HASTA 5 DIAS</v>
      </c>
      <c r="CK209" s="59" t="str">
        <f t="shared" ca="1" si="547"/>
        <v>HASTA 5 DIAS</v>
      </c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>
        <f t="shared" si="559"/>
        <v>0</v>
      </c>
      <c r="DH209" s="8">
        <f t="shared" si="560"/>
        <v>0</v>
      </c>
      <c r="DI209" s="8">
        <f t="shared" si="561"/>
        <v>0</v>
      </c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59" t="str">
        <f t="shared" si="562"/>
        <v>NA</v>
      </c>
      <c r="DU209" s="59" t="str">
        <f t="shared" si="563"/>
        <v>NA</v>
      </c>
      <c r="DV209" s="59" t="str">
        <f t="shared" si="564"/>
        <v>NA</v>
      </c>
      <c r="DW209" s="59" t="str">
        <f t="shared" si="565"/>
        <v>NA</v>
      </c>
      <c r="DX209" s="59" t="str">
        <f t="shared" si="566"/>
        <v>NA</v>
      </c>
      <c r="DY209" s="59" t="str">
        <f t="shared" si="567"/>
        <v>NA</v>
      </c>
      <c r="DZ209" s="59" t="str">
        <f t="shared" si="568"/>
        <v>NA</v>
      </c>
      <c r="EA209" s="59" t="str">
        <f t="shared" si="569"/>
        <v>NA</v>
      </c>
      <c r="EB209" s="59" t="str">
        <f t="shared" si="570"/>
        <v>NA</v>
      </c>
      <c r="EC209" s="59" t="str">
        <f t="shared" si="571"/>
        <v>NA</v>
      </c>
      <c r="ED209" s="59" t="str">
        <f t="shared" si="572"/>
        <v/>
      </c>
      <c r="EE209" s="59" t="str">
        <f t="shared" si="573"/>
        <v/>
      </c>
      <c r="EF209" s="59" t="str">
        <f t="shared" si="574"/>
        <v/>
      </c>
      <c r="EG209" s="59" t="str">
        <f t="shared" si="575"/>
        <v/>
      </c>
      <c r="EH209" s="59" t="str">
        <f t="shared" si="576"/>
        <v/>
      </c>
      <c r="EI209" s="59" t="str">
        <f t="shared" si="577"/>
        <v/>
      </c>
      <c r="EJ209" s="59" t="str">
        <f t="shared" si="578"/>
        <v/>
      </c>
      <c r="EK209" s="59" t="str">
        <f t="shared" si="579"/>
        <v/>
      </c>
      <c r="EL209" s="59" t="str">
        <f t="shared" si="580"/>
        <v/>
      </c>
      <c r="EM209" s="59" t="str">
        <f t="shared" si="581"/>
        <v/>
      </c>
      <c r="EN209" s="59" t="str">
        <f t="shared" si="582"/>
        <v/>
      </c>
      <c r="EO209" s="59" t="str">
        <f t="shared" si="583"/>
        <v/>
      </c>
      <c r="EP209" s="59" t="str">
        <f t="shared" si="584"/>
        <v/>
      </c>
      <c r="EQ209" s="59" t="str">
        <f t="shared" si="585"/>
        <v/>
      </c>
      <c r="ER209" s="59" t="str">
        <f t="shared" si="586"/>
        <v/>
      </c>
      <c r="ES209" s="59" t="str">
        <f t="shared" si="587"/>
        <v/>
      </c>
      <c r="ET209" s="59" t="str">
        <f t="shared" si="588"/>
        <v/>
      </c>
      <c r="EU209" s="59" t="str">
        <f t="shared" si="589"/>
        <v/>
      </c>
      <c r="EV209" s="59" t="str">
        <f t="shared" si="590"/>
        <v/>
      </c>
      <c r="EW209" s="59" t="str">
        <f t="shared" si="591"/>
        <v/>
      </c>
      <c r="EX209" s="56">
        <f t="shared" si="548"/>
        <v>1135000</v>
      </c>
    </row>
    <row r="210" spans="1:154" x14ac:dyDescent="0.25">
      <c r="A210" s="2">
        <f t="shared" si="592"/>
        <v>209</v>
      </c>
      <c r="B210" s="2" t="s">
        <v>6</v>
      </c>
      <c r="C210" s="2" t="str">
        <f t="shared" si="549"/>
        <v>030415</v>
      </c>
      <c r="D210" s="2">
        <v>3</v>
      </c>
      <c r="E210" s="2">
        <v>4</v>
      </c>
      <c r="F210" s="2">
        <v>15</v>
      </c>
      <c r="G210" s="11" t="s">
        <v>21</v>
      </c>
      <c r="H210" s="4"/>
      <c r="I210" s="42" t="s">
        <v>58</v>
      </c>
      <c r="J210" s="9">
        <v>80</v>
      </c>
      <c r="K210" s="5"/>
      <c r="L210" s="6" t="s">
        <v>306</v>
      </c>
      <c r="M210" s="22" t="s">
        <v>176</v>
      </c>
      <c r="N210" s="7">
        <f t="shared" si="593"/>
        <v>1126000</v>
      </c>
      <c r="O210" s="8">
        <v>248</v>
      </c>
      <c r="P210" s="25">
        <v>41182</v>
      </c>
      <c r="Q210" s="8" t="str">
        <f t="shared" si="550"/>
        <v>2DA-SEP</v>
      </c>
      <c r="R210" s="26">
        <v>0.3</v>
      </c>
      <c r="S210" s="41" t="s">
        <v>34</v>
      </c>
      <c r="T210" s="8" t="s">
        <v>352</v>
      </c>
      <c r="U210" s="8"/>
      <c r="V210" s="7">
        <v>563000</v>
      </c>
      <c r="W210" s="7">
        <f>+V210*0.3</f>
        <v>168900</v>
      </c>
      <c r="X210" s="7">
        <f t="shared" si="551"/>
        <v>394100</v>
      </c>
      <c r="Y210" s="7">
        <v>0</v>
      </c>
      <c r="Z210" s="7">
        <f t="shared" si="552"/>
        <v>168900</v>
      </c>
      <c r="AA210" s="148" t="str">
        <f t="shared" si="553"/>
        <v>30%</v>
      </c>
      <c r="AB210" s="148">
        <f t="shared" si="554"/>
        <v>0.7</v>
      </c>
      <c r="AC210" s="25">
        <f ca="1">TODAY()-9</f>
        <v>41113</v>
      </c>
      <c r="AD210" s="25">
        <f t="shared" ref="AD210:AE210" ca="1" si="628">TODAY()-9</f>
        <v>41113</v>
      </c>
      <c r="AE210" s="25">
        <f t="shared" ca="1" si="628"/>
        <v>41113</v>
      </c>
      <c r="AF210" s="8"/>
      <c r="AG210" s="59" t="str">
        <f t="shared" ca="1" si="556"/>
        <v>NA</v>
      </c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59" t="str">
        <f t="shared" si="605"/>
        <v>NA</v>
      </c>
      <c r="AS210" s="59" t="str">
        <f t="shared" si="606"/>
        <v/>
      </c>
      <c r="AT210" s="59"/>
      <c r="AU210" s="59" t="str">
        <f t="shared" si="534"/>
        <v>ND</v>
      </c>
      <c r="AV210" s="66"/>
      <c r="AW210" s="66"/>
      <c r="AX210" s="66"/>
      <c r="AY210" s="66"/>
      <c r="AZ210" s="8"/>
      <c r="BA210" s="8" t="s">
        <v>37</v>
      </c>
      <c r="BB210" s="8"/>
      <c r="BC210" s="8"/>
      <c r="BD210" s="8"/>
      <c r="BE210" s="8"/>
      <c r="BF210" s="8"/>
      <c r="BG210" s="8"/>
      <c r="BH210" s="8"/>
      <c r="BI210" s="8"/>
      <c r="BJ210" s="8"/>
      <c r="BK210" s="59"/>
      <c r="BL210" s="59"/>
      <c r="BM210" s="59"/>
      <c r="BN210" s="164">
        <v>0.01</v>
      </c>
      <c r="BO210" s="165">
        <f t="shared" si="557"/>
        <v>3753.3333333333335</v>
      </c>
      <c r="BP210" s="165">
        <f t="shared" ref="BP210:BQ210" si="629">BO210</f>
        <v>3753.3333333333335</v>
      </c>
      <c r="BQ210" s="165">
        <f t="shared" si="629"/>
        <v>3753.3333333333335</v>
      </c>
      <c r="BR210" s="59"/>
      <c r="BS210" s="59"/>
      <c r="BT210" s="59"/>
      <c r="BU210" s="59"/>
      <c r="BV210" s="59" t="str">
        <f t="shared" si="598"/>
        <v>ND</v>
      </c>
      <c r="BW210" s="59" t="str">
        <f t="shared" si="599"/>
        <v>ND</v>
      </c>
      <c r="BX210" s="59" t="str">
        <f t="shared" si="600"/>
        <v>ND</v>
      </c>
      <c r="BY210" s="59" t="str">
        <f t="shared" si="601"/>
        <v>ND</v>
      </c>
      <c r="BZ210" s="59" t="str">
        <f t="shared" si="536"/>
        <v>NA</v>
      </c>
      <c r="CA210" s="59" t="str">
        <f t="shared" si="537"/>
        <v/>
      </c>
      <c r="CB210" s="59" t="str">
        <f t="shared" si="538"/>
        <v>NA</v>
      </c>
      <c r="CC210" s="59" t="str">
        <f t="shared" si="539"/>
        <v/>
      </c>
      <c r="CD210" s="59" t="str">
        <f t="shared" si="540"/>
        <v>NA</v>
      </c>
      <c r="CE210" s="59" t="str">
        <f t="shared" si="541"/>
        <v/>
      </c>
      <c r="CF210" s="59" t="str">
        <f t="shared" si="542"/>
        <v>NA</v>
      </c>
      <c r="CG210" s="59" t="str">
        <f t="shared" ca="1" si="543"/>
        <v>NA</v>
      </c>
      <c r="CH210" s="59" t="str">
        <f t="shared" ca="1" si="544"/>
        <v>NA</v>
      </c>
      <c r="CI210" s="59" t="str">
        <f t="shared" ca="1" si="545"/>
        <v>DE 6 A 10 DIAS</v>
      </c>
      <c r="CJ210" s="59" t="str">
        <f t="shared" ca="1" si="546"/>
        <v>DE 6 A 10 DIAS</v>
      </c>
      <c r="CK210" s="59" t="str">
        <f t="shared" ca="1" si="547"/>
        <v>DE 6 A 10 DIAS</v>
      </c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>
        <f t="shared" si="559"/>
        <v>0</v>
      </c>
      <c r="DH210" s="8">
        <f t="shared" si="560"/>
        <v>0</v>
      </c>
      <c r="DI210" s="8">
        <f t="shared" si="561"/>
        <v>0</v>
      </c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59" t="str">
        <f t="shared" si="562"/>
        <v>NA</v>
      </c>
      <c r="DU210" s="59" t="str">
        <f t="shared" si="563"/>
        <v>NA</v>
      </c>
      <c r="DV210" s="59" t="str">
        <f t="shared" si="564"/>
        <v>NA</v>
      </c>
      <c r="DW210" s="59" t="str">
        <f t="shared" si="565"/>
        <v>NA</v>
      </c>
      <c r="DX210" s="59" t="str">
        <f t="shared" si="566"/>
        <v>NA</v>
      </c>
      <c r="DY210" s="59" t="str">
        <f t="shared" si="567"/>
        <v>NA</v>
      </c>
      <c r="DZ210" s="59" t="str">
        <f t="shared" si="568"/>
        <v>NA</v>
      </c>
      <c r="EA210" s="59" t="str">
        <f t="shared" si="569"/>
        <v>NA</v>
      </c>
      <c r="EB210" s="59" t="str">
        <f t="shared" si="570"/>
        <v>NA</v>
      </c>
      <c r="EC210" s="59" t="str">
        <f t="shared" si="571"/>
        <v>NA</v>
      </c>
      <c r="ED210" s="59" t="str">
        <f t="shared" si="572"/>
        <v/>
      </c>
      <c r="EE210" s="59" t="str">
        <f t="shared" si="573"/>
        <v/>
      </c>
      <c r="EF210" s="59" t="str">
        <f t="shared" si="574"/>
        <v/>
      </c>
      <c r="EG210" s="59" t="str">
        <f t="shared" si="575"/>
        <v/>
      </c>
      <c r="EH210" s="59" t="str">
        <f t="shared" si="576"/>
        <v/>
      </c>
      <c r="EI210" s="59" t="str">
        <f t="shared" si="577"/>
        <v/>
      </c>
      <c r="EJ210" s="59" t="str">
        <f t="shared" si="578"/>
        <v/>
      </c>
      <c r="EK210" s="59" t="str">
        <f t="shared" si="579"/>
        <v/>
      </c>
      <c r="EL210" s="59" t="str">
        <f t="shared" si="580"/>
        <v/>
      </c>
      <c r="EM210" s="59" t="str">
        <f t="shared" si="581"/>
        <v/>
      </c>
      <c r="EN210" s="59" t="str">
        <f t="shared" si="582"/>
        <v/>
      </c>
      <c r="EO210" s="59" t="str">
        <f t="shared" si="583"/>
        <v/>
      </c>
      <c r="EP210" s="59" t="str">
        <f t="shared" si="584"/>
        <v/>
      </c>
      <c r="EQ210" s="59" t="str">
        <f t="shared" si="585"/>
        <v/>
      </c>
      <c r="ER210" s="59" t="str">
        <f t="shared" si="586"/>
        <v/>
      </c>
      <c r="ES210" s="59" t="str">
        <f t="shared" si="587"/>
        <v/>
      </c>
      <c r="ET210" s="59" t="str">
        <f t="shared" si="588"/>
        <v/>
      </c>
      <c r="EU210" s="59" t="str">
        <f t="shared" si="589"/>
        <v/>
      </c>
      <c r="EV210" s="59" t="str">
        <f t="shared" si="590"/>
        <v/>
      </c>
      <c r="EW210" s="59" t="str">
        <f t="shared" si="591"/>
        <v/>
      </c>
      <c r="EX210" s="56">
        <f t="shared" si="548"/>
        <v>1126000</v>
      </c>
    </row>
    <row r="211" spans="1:154" x14ac:dyDescent="0.25">
      <c r="A211" s="2">
        <f t="shared" si="592"/>
        <v>210</v>
      </c>
      <c r="B211" s="2" t="s">
        <v>6</v>
      </c>
      <c r="C211" s="2" t="str">
        <f t="shared" si="549"/>
        <v>030416</v>
      </c>
      <c r="D211" s="2">
        <v>3</v>
      </c>
      <c r="E211" s="2">
        <v>4</v>
      </c>
      <c r="F211" s="2">
        <v>16</v>
      </c>
      <c r="G211" s="11" t="s">
        <v>21</v>
      </c>
      <c r="H211" s="4"/>
      <c r="I211" s="42" t="s">
        <v>58</v>
      </c>
      <c r="J211" s="9">
        <v>80</v>
      </c>
      <c r="K211" s="5"/>
      <c r="L211" s="6" t="s">
        <v>306</v>
      </c>
      <c r="M211" s="22" t="s">
        <v>176</v>
      </c>
      <c r="N211" s="7">
        <f t="shared" si="593"/>
        <v>1126000</v>
      </c>
      <c r="O211" s="8">
        <v>249</v>
      </c>
      <c r="P211" s="25">
        <v>41182</v>
      </c>
      <c r="Q211" s="8" t="str">
        <f t="shared" si="550"/>
        <v>2DA-SEP</v>
      </c>
      <c r="R211" s="26">
        <v>0.3</v>
      </c>
      <c r="S211" s="41" t="s">
        <v>34</v>
      </c>
      <c r="T211" s="8" t="s">
        <v>352</v>
      </c>
      <c r="U211" s="8"/>
      <c r="V211" s="7">
        <v>563000</v>
      </c>
      <c r="W211" s="7">
        <f>+V211*0.85</f>
        <v>478550</v>
      </c>
      <c r="X211" s="7">
        <f t="shared" si="551"/>
        <v>84450</v>
      </c>
      <c r="Y211" s="7">
        <v>0</v>
      </c>
      <c r="Z211" s="7">
        <f t="shared" si="552"/>
        <v>478550</v>
      </c>
      <c r="AA211" s="148" t="str">
        <f t="shared" si="553"/>
        <v>85%</v>
      </c>
      <c r="AB211" s="148">
        <f t="shared" si="554"/>
        <v>0.15000000000000002</v>
      </c>
      <c r="AC211" s="25">
        <f ca="1">TODAY()-14</f>
        <v>41108</v>
      </c>
      <c r="AD211" s="25">
        <f t="shared" ref="AD211:AE211" ca="1" si="630">TODAY()-14</f>
        <v>41108</v>
      </c>
      <c r="AE211" s="25">
        <f t="shared" ca="1" si="630"/>
        <v>41108</v>
      </c>
      <c r="AF211" s="8"/>
      <c r="AG211" s="59" t="str">
        <f t="shared" ca="1" si="556"/>
        <v>NA</v>
      </c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59" t="str">
        <f t="shared" si="605"/>
        <v>NA</v>
      </c>
      <c r="AS211" s="59" t="str">
        <f t="shared" si="606"/>
        <v/>
      </c>
      <c r="AT211" s="59"/>
      <c r="AU211" s="59" t="str">
        <f t="shared" si="534"/>
        <v>ND</v>
      </c>
      <c r="AV211" s="66"/>
      <c r="AW211" s="66"/>
      <c r="AX211" s="66"/>
      <c r="AY211" s="66"/>
      <c r="AZ211" s="8"/>
      <c r="BA211" s="8" t="s">
        <v>37</v>
      </c>
      <c r="BB211" s="8"/>
      <c r="BC211" s="8"/>
      <c r="BD211" s="8"/>
      <c r="BE211" s="8"/>
      <c r="BF211" s="8"/>
      <c r="BG211" s="8"/>
      <c r="BH211" s="8"/>
      <c r="BI211" s="8"/>
      <c r="BJ211" s="8"/>
      <c r="BK211" s="59"/>
      <c r="BL211" s="59"/>
      <c r="BM211" s="59"/>
      <c r="BN211" s="164">
        <v>0.01</v>
      </c>
      <c r="BO211" s="165">
        <f t="shared" si="557"/>
        <v>3753.3333333333335</v>
      </c>
      <c r="BP211" s="165">
        <f t="shared" ref="BP211:BQ211" si="631">BO211</f>
        <v>3753.3333333333335</v>
      </c>
      <c r="BQ211" s="165">
        <f t="shared" si="631"/>
        <v>3753.3333333333335</v>
      </c>
      <c r="BR211" s="59"/>
      <c r="BS211" s="59"/>
      <c r="BT211" s="59"/>
      <c r="BU211" s="59"/>
      <c r="BV211" s="59" t="str">
        <f t="shared" si="598"/>
        <v>ND</v>
      </c>
      <c r="BW211" s="59" t="str">
        <f t="shared" si="599"/>
        <v>ND</v>
      </c>
      <c r="BX211" s="59" t="str">
        <f t="shared" si="600"/>
        <v>ND</v>
      </c>
      <c r="BY211" s="59" t="str">
        <f t="shared" si="601"/>
        <v>ND</v>
      </c>
      <c r="BZ211" s="59" t="str">
        <f t="shared" si="536"/>
        <v>NA</v>
      </c>
      <c r="CA211" s="59" t="str">
        <f t="shared" si="537"/>
        <v/>
      </c>
      <c r="CB211" s="59" t="str">
        <f t="shared" si="538"/>
        <v>NA</v>
      </c>
      <c r="CC211" s="59" t="str">
        <f t="shared" si="539"/>
        <v/>
      </c>
      <c r="CD211" s="59" t="str">
        <f t="shared" si="540"/>
        <v>NA</v>
      </c>
      <c r="CE211" s="59" t="str">
        <f t="shared" si="541"/>
        <v/>
      </c>
      <c r="CF211" s="59" t="str">
        <f t="shared" si="542"/>
        <v>NA</v>
      </c>
      <c r="CG211" s="59" t="str">
        <f t="shared" ca="1" si="543"/>
        <v>NA</v>
      </c>
      <c r="CH211" s="59" t="str">
        <f t="shared" ca="1" si="544"/>
        <v>NA</v>
      </c>
      <c r="CI211" s="59" t="str">
        <f t="shared" ca="1" si="545"/>
        <v>DE 11 A 15 DIAS</v>
      </c>
      <c r="CJ211" s="59" t="str">
        <f t="shared" ca="1" si="546"/>
        <v>DE 11 A 15 DIAS</v>
      </c>
      <c r="CK211" s="59" t="str">
        <f t="shared" ca="1" si="547"/>
        <v>DE 11 A 15 DIAS</v>
      </c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>
        <f t="shared" si="559"/>
        <v>0</v>
      </c>
      <c r="DH211" s="8">
        <f t="shared" si="560"/>
        <v>0</v>
      </c>
      <c r="DI211" s="8">
        <f t="shared" si="561"/>
        <v>0</v>
      </c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59" t="str">
        <f t="shared" si="562"/>
        <v>NA</v>
      </c>
      <c r="DU211" s="59" t="str">
        <f t="shared" si="563"/>
        <v>NA</v>
      </c>
      <c r="DV211" s="59" t="str">
        <f t="shared" si="564"/>
        <v>NA</v>
      </c>
      <c r="DW211" s="59" t="str">
        <f t="shared" si="565"/>
        <v>NA</v>
      </c>
      <c r="DX211" s="59" t="str">
        <f t="shared" si="566"/>
        <v>NA</v>
      </c>
      <c r="DY211" s="59" t="str">
        <f t="shared" si="567"/>
        <v>NA</v>
      </c>
      <c r="DZ211" s="59" t="str">
        <f t="shared" si="568"/>
        <v>NA</v>
      </c>
      <c r="EA211" s="59" t="str">
        <f t="shared" si="569"/>
        <v>NA</v>
      </c>
      <c r="EB211" s="59" t="str">
        <f t="shared" si="570"/>
        <v>NA</v>
      </c>
      <c r="EC211" s="59" t="str">
        <f t="shared" si="571"/>
        <v>NA</v>
      </c>
      <c r="ED211" s="59" t="str">
        <f t="shared" si="572"/>
        <v/>
      </c>
      <c r="EE211" s="59" t="str">
        <f t="shared" si="573"/>
        <v/>
      </c>
      <c r="EF211" s="59" t="str">
        <f t="shared" si="574"/>
        <v/>
      </c>
      <c r="EG211" s="59" t="str">
        <f t="shared" si="575"/>
        <v/>
      </c>
      <c r="EH211" s="59" t="str">
        <f t="shared" si="576"/>
        <v/>
      </c>
      <c r="EI211" s="59" t="str">
        <f t="shared" si="577"/>
        <v/>
      </c>
      <c r="EJ211" s="59" t="str">
        <f t="shared" si="578"/>
        <v/>
      </c>
      <c r="EK211" s="59" t="str">
        <f t="shared" si="579"/>
        <v/>
      </c>
      <c r="EL211" s="59" t="str">
        <f t="shared" si="580"/>
        <v/>
      </c>
      <c r="EM211" s="59" t="str">
        <f t="shared" si="581"/>
        <v/>
      </c>
      <c r="EN211" s="59" t="str">
        <f t="shared" si="582"/>
        <v/>
      </c>
      <c r="EO211" s="59" t="str">
        <f t="shared" si="583"/>
        <v/>
      </c>
      <c r="EP211" s="59" t="str">
        <f t="shared" si="584"/>
        <v/>
      </c>
      <c r="EQ211" s="59" t="str">
        <f t="shared" si="585"/>
        <v/>
      </c>
      <c r="ER211" s="59" t="str">
        <f t="shared" si="586"/>
        <v/>
      </c>
      <c r="ES211" s="59" t="str">
        <f t="shared" si="587"/>
        <v/>
      </c>
      <c r="ET211" s="59" t="str">
        <f t="shared" si="588"/>
        <v/>
      </c>
      <c r="EU211" s="59" t="str">
        <f t="shared" si="589"/>
        <v/>
      </c>
      <c r="EV211" s="59" t="str">
        <f t="shared" si="590"/>
        <v/>
      </c>
      <c r="EW211" s="59" t="str">
        <f t="shared" si="591"/>
        <v/>
      </c>
      <c r="EX211" s="56">
        <f t="shared" si="548"/>
        <v>1126000</v>
      </c>
    </row>
    <row r="212" spans="1:154" x14ac:dyDescent="0.25">
      <c r="A212" s="2">
        <f t="shared" si="592"/>
        <v>211</v>
      </c>
      <c r="B212" s="2" t="s">
        <v>6</v>
      </c>
      <c r="C212" s="2" t="str">
        <f t="shared" si="549"/>
        <v>030417</v>
      </c>
      <c r="D212" s="2">
        <v>3</v>
      </c>
      <c r="E212" s="2">
        <v>4</v>
      </c>
      <c r="F212" s="2">
        <v>17</v>
      </c>
      <c r="G212" s="11" t="s">
        <v>21</v>
      </c>
      <c r="H212" s="4"/>
      <c r="I212" s="42" t="s">
        <v>58</v>
      </c>
      <c r="J212" s="9">
        <v>80</v>
      </c>
      <c r="K212" s="9"/>
      <c r="L212" s="10" t="s">
        <v>8</v>
      </c>
      <c r="M212" s="22" t="s">
        <v>176</v>
      </c>
      <c r="N212" s="7">
        <f t="shared" si="593"/>
        <v>1135000</v>
      </c>
      <c r="O212" s="8">
        <v>250</v>
      </c>
      <c r="P212" s="25">
        <v>41182</v>
      </c>
      <c r="Q212" s="8" t="str">
        <f t="shared" si="550"/>
        <v>2DA-SEP</v>
      </c>
      <c r="R212" s="26">
        <v>0.3</v>
      </c>
      <c r="S212" s="41" t="s">
        <v>34</v>
      </c>
      <c r="T212" s="8" t="s">
        <v>352</v>
      </c>
      <c r="U212" s="8"/>
      <c r="V212" s="7">
        <v>567500</v>
      </c>
      <c r="W212" s="7">
        <f>+V212*0.63</f>
        <v>357525</v>
      </c>
      <c r="X212" s="7">
        <f t="shared" si="551"/>
        <v>209975</v>
      </c>
      <c r="Y212" s="7">
        <v>0</v>
      </c>
      <c r="Z212" s="7">
        <f t="shared" si="552"/>
        <v>357525</v>
      </c>
      <c r="AA212" s="148" t="str">
        <f t="shared" si="553"/>
        <v>65%</v>
      </c>
      <c r="AB212" s="148">
        <f t="shared" si="554"/>
        <v>0.35</v>
      </c>
      <c r="AC212" s="25">
        <f ca="1">TODAY()-19</f>
        <v>41103</v>
      </c>
      <c r="AD212" s="25">
        <f t="shared" ref="AD212:AE212" ca="1" si="632">TODAY()-19</f>
        <v>41103</v>
      </c>
      <c r="AE212" s="25">
        <f t="shared" ca="1" si="632"/>
        <v>41103</v>
      </c>
      <c r="AF212" s="8"/>
      <c r="AG212" s="59" t="str">
        <f t="shared" ca="1" si="556"/>
        <v>NA</v>
      </c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59" t="str">
        <f t="shared" si="605"/>
        <v>NA</v>
      </c>
      <c r="AS212" s="59" t="str">
        <f t="shared" si="606"/>
        <v/>
      </c>
      <c r="AT212" s="59"/>
      <c r="AU212" s="59" t="str">
        <f t="shared" si="534"/>
        <v>ND</v>
      </c>
      <c r="AV212" s="66"/>
      <c r="AW212" s="66"/>
      <c r="AX212" s="66"/>
      <c r="AY212" s="66"/>
      <c r="AZ212" s="8"/>
      <c r="BA212" s="8" t="s">
        <v>37</v>
      </c>
      <c r="BB212" s="8"/>
      <c r="BC212" s="8"/>
      <c r="BD212" s="8"/>
      <c r="BE212" s="8"/>
      <c r="BF212" s="8"/>
      <c r="BG212" s="8"/>
      <c r="BH212" s="8"/>
      <c r="BI212" s="8"/>
      <c r="BJ212" s="8"/>
      <c r="BK212" s="59"/>
      <c r="BL212" s="59"/>
      <c r="BM212" s="59"/>
      <c r="BN212" s="164">
        <v>0.01</v>
      </c>
      <c r="BO212" s="165">
        <f t="shared" si="557"/>
        <v>3783.3333333333335</v>
      </c>
      <c r="BP212" s="165">
        <f t="shared" ref="BP212:BQ212" si="633">BO212</f>
        <v>3783.3333333333335</v>
      </c>
      <c r="BQ212" s="165">
        <f t="shared" si="633"/>
        <v>3783.3333333333335</v>
      </c>
      <c r="BR212" s="59"/>
      <c r="BS212" s="59"/>
      <c r="BT212" s="59"/>
      <c r="BU212" s="59"/>
      <c r="BV212" s="59" t="str">
        <f t="shared" si="598"/>
        <v>ND</v>
      </c>
      <c r="BW212" s="59" t="str">
        <f t="shared" si="599"/>
        <v>ND</v>
      </c>
      <c r="BX212" s="59" t="str">
        <f t="shared" si="600"/>
        <v>ND</v>
      </c>
      <c r="BY212" s="59" t="str">
        <f t="shared" si="601"/>
        <v>ND</v>
      </c>
      <c r="BZ212" s="59" t="str">
        <f t="shared" si="536"/>
        <v>NA</v>
      </c>
      <c r="CA212" s="59" t="str">
        <f t="shared" si="537"/>
        <v/>
      </c>
      <c r="CB212" s="59" t="str">
        <f t="shared" si="538"/>
        <v>NA</v>
      </c>
      <c r="CC212" s="59" t="str">
        <f t="shared" si="539"/>
        <v/>
      </c>
      <c r="CD212" s="59" t="str">
        <f t="shared" si="540"/>
        <v>NA</v>
      </c>
      <c r="CE212" s="59" t="str">
        <f t="shared" si="541"/>
        <v/>
      </c>
      <c r="CF212" s="59" t="str">
        <f t="shared" si="542"/>
        <v>NA</v>
      </c>
      <c r="CG212" s="59" t="str">
        <f t="shared" ca="1" si="543"/>
        <v>NA</v>
      </c>
      <c r="CH212" s="59" t="str">
        <f t="shared" ca="1" si="544"/>
        <v>NA</v>
      </c>
      <c r="CI212" s="59" t="str">
        <f t="shared" ca="1" si="545"/>
        <v>DE 16 A 20 DIAS</v>
      </c>
      <c r="CJ212" s="59" t="str">
        <f t="shared" ca="1" si="546"/>
        <v>DE 16 A 20 DIAS</v>
      </c>
      <c r="CK212" s="59" t="str">
        <f t="shared" ca="1" si="547"/>
        <v>DE 16 A 20 DIAS</v>
      </c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>
        <f t="shared" si="559"/>
        <v>0</v>
      </c>
      <c r="DH212" s="8">
        <f t="shared" si="560"/>
        <v>0</v>
      </c>
      <c r="DI212" s="8">
        <f t="shared" si="561"/>
        <v>0</v>
      </c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59" t="str">
        <f t="shared" si="562"/>
        <v>NA</v>
      </c>
      <c r="DU212" s="59" t="str">
        <f t="shared" si="563"/>
        <v>NA</v>
      </c>
      <c r="DV212" s="59" t="str">
        <f t="shared" si="564"/>
        <v>NA</v>
      </c>
      <c r="DW212" s="59" t="str">
        <f t="shared" si="565"/>
        <v>NA</v>
      </c>
      <c r="DX212" s="59" t="str">
        <f t="shared" si="566"/>
        <v>NA</v>
      </c>
      <c r="DY212" s="59" t="str">
        <f t="shared" si="567"/>
        <v>NA</v>
      </c>
      <c r="DZ212" s="59" t="str">
        <f t="shared" si="568"/>
        <v>NA</v>
      </c>
      <c r="EA212" s="59" t="str">
        <f t="shared" si="569"/>
        <v>NA</v>
      </c>
      <c r="EB212" s="59" t="str">
        <f t="shared" si="570"/>
        <v>NA</v>
      </c>
      <c r="EC212" s="59" t="str">
        <f t="shared" si="571"/>
        <v>NA</v>
      </c>
      <c r="ED212" s="59" t="str">
        <f t="shared" si="572"/>
        <v/>
      </c>
      <c r="EE212" s="59" t="str">
        <f t="shared" si="573"/>
        <v/>
      </c>
      <c r="EF212" s="59" t="str">
        <f t="shared" si="574"/>
        <v/>
      </c>
      <c r="EG212" s="59" t="str">
        <f t="shared" si="575"/>
        <v/>
      </c>
      <c r="EH212" s="59" t="str">
        <f t="shared" si="576"/>
        <v/>
      </c>
      <c r="EI212" s="59" t="str">
        <f t="shared" si="577"/>
        <v/>
      </c>
      <c r="EJ212" s="59" t="str">
        <f t="shared" si="578"/>
        <v/>
      </c>
      <c r="EK212" s="59" t="str">
        <f t="shared" si="579"/>
        <v/>
      </c>
      <c r="EL212" s="59" t="str">
        <f t="shared" si="580"/>
        <v/>
      </c>
      <c r="EM212" s="59" t="str">
        <f t="shared" si="581"/>
        <v/>
      </c>
      <c r="EN212" s="59" t="str">
        <f t="shared" si="582"/>
        <v/>
      </c>
      <c r="EO212" s="59" t="str">
        <f t="shared" si="583"/>
        <v/>
      </c>
      <c r="EP212" s="59" t="str">
        <f t="shared" si="584"/>
        <v/>
      </c>
      <c r="EQ212" s="59" t="str">
        <f t="shared" si="585"/>
        <v/>
      </c>
      <c r="ER212" s="59" t="str">
        <f t="shared" si="586"/>
        <v/>
      </c>
      <c r="ES212" s="59" t="str">
        <f t="shared" si="587"/>
        <v/>
      </c>
      <c r="ET212" s="59" t="str">
        <f t="shared" si="588"/>
        <v/>
      </c>
      <c r="EU212" s="59" t="str">
        <f t="shared" si="589"/>
        <v/>
      </c>
      <c r="EV212" s="59" t="str">
        <f t="shared" si="590"/>
        <v/>
      </c>
      <c r="EW212" s="59" t="str">
        <f t="shared" si="591"/>
        <v/>
      </c>
      <c r="EX212" s="56">
        <f t="shared" si="548"/>
        <v>1135000</v>
      </c>
    </row>
    <row r="213" spans="1:154" x14ac:dyDescent="0.25">
      <c r="A213" s="2">
        <f t="shared" si="592"/>
        <v>212</v>
      </c>
      <c r="B213" s="2" t="s">
        <v>6</v>
      </c>
      <c r="C213" s="2" t="str">
        <f t="shared" si="549"/>
        <v>030418</v>
      </c>
      <c r="D213" s="2">
        <v>3</v>
      </c>
      <c r="E213" s="2">
        <v>4</v>
      </c>
      <c r="F213" s="2">
        <v>18</v>
      </c>
      <c r="G213" s="11" t="s">
        <v>21</v>
      </c>
      <c r="H213" s="4"/>
      <c r="I213" s="42" t="s">
        <v>58</v>
      </c>
      <c r="J213" s="9">
        <v>80</v>
      </c>
      <c r="K213" s="5"/>
      <c r="L213" s="6" t="s">
        <v>306</v>
      </c>
      <c r="M213" s="22" t="s">
        <v>176</v>
      </c>
      <c r="N213" s="7">
        <f t="shared" si="593"/>
        <v>1126000</v>
      </c>
      <c r="O213" s="8">
        <v>251</v>
      </c>
      <c r="P213" s="25">
        <v>41182</v>
      </c>
      <c r="Q213" s="8" t="str">
        <f t="shared" si="550"/>
        <v>2DA-SEP</v>
      </c>
      <c r="R213" s="26">
        <v>0.3</v>
      </c>
      <c r="S213" s="41" t="s">
        <v>34</v>
      </c>
      <c r="T213" s="8" t="s">
        <v>352</v>
      </c>
      <c r="U213" s="8"/>
      <c r="V213" s="7">
        <v>563000</v>
      </c>
      <c r="W213" s="7">
        <f t="shared" ref="W213:W222" si="634">+V213*0.63</f>
        <v>354690</v>
      </c>
      <c r="X213" s="7">
        <f t="shared" si="551"/>
        <v>208310</v>
      </c>
      <c r="Y213" s="7">
        <v>0</v>
      </c>
      <c r="Z213" s="7">
        <f t="shared" si="552"/>
        <v>354690</v>
      </c>
      <c r="AA213" s="148" t="str">
        <f t="shared" si="553"/>
        <v>65%</v>
      </c>
      <c r="AB213" s="148">
        <f t="shared" si="554"/>
        <v>0.35</v>
      </c>
      <c r="AC213" s="25">
        <f ca="1">TODAY()-25</f>
        <v>41097</v>
      </c>
      <c r="AD213" s="25">
        <f t="shared" ref="AD213:AE213" ca="1" si="635">TODAY()-25</f>
        <v>41097</v>
      </c>
      <c r="AE213" s="25">
        <f t="shared" ca="1" si="635"/>
        <v>41097</v>
      </c>
      <c r="AF213" s="8"/>
      <c r="AG213" s="59" t="str">
        <f t="shared" ca="1" si="556"/>
        <v>NA</v>
      </c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59" t="str">
        <f t="shared" si="605"/>
        <v>NA</v>
      </c>
      <c r="AS213" s="59" t="str">
        <f t="shared" si="606"/>
        <v/>
      </c>
      <c r="AT213" s="59"/>
      <c r="AU213" s="59" t="str">
        <f t="shared" si="534"/>
        <v>ND</v>
      </c>
      <c r="AV213" s="66"/>
      <c r="AW213" s="66"/>
      <c r="AX213" s="66"/>
      <c r="AY213" s="66"/>
      <c r="AZ213" s="8"/>
      <c r="BA213" s="8" t="s">
        <v>37</v>
      </c>
      <c r="BB213" s="8"/>
      <c r="BC213" s="8"/>
      <c r="BD213" s="8"/>
      <c r="BE213" s="8"/>
      <c r="BF213" s="8"/>
      <c r="BG213" s="8"/>
      <c r="BH213" s="8"/>
      <c r="BI213" s="8"/>
      <c r="BJ213" s="8"/>
      <c r="BK213" s="59"/>
      <c r="BL213" s="59"/>
      <c r="BM213" s="59"/>
      <c r="BN213" s="164">
        <v>0.01</v>
      </c>
      <c r="BO213" s="165">
        <f t="shared" si="557"/>
        <v>3753.3333333333335</v>
      </c>
      <c r="BP213" s="165">
        <f t="shared" ref="BP213:BQ213" si="636">BO213</f>
        <v>3753.3333333333335</v>
      </c>
      <c r="BQ213" s="165">
        <f t="shared" si="636"/>
        <v>3753.3333333333335</v>
      </c>
      <c r="BR213" s="59"/>
      <c r="BS213" s="59"/>
      <c r="BT213" s="59"/>
      <c r="BU213" s="59"/>
      <c r="BV213" s="59" t="str">
        <f t="shared" si="598"/>
        <v>ND</v>
      </c>
      <c r="BW213" s="59" t="str">
        <f t="shared" si="599"/>
        <v>ND</v>
      </c>
      <c r="BX213" s="59" t="str">
        <f t="shared" si="600"/>
        <v>ND</v>
      </c>
      <c r="BY213" s="59" t="str">
        <f t="shared" si="601"/>
        <v>ND</v>
      </c>
      <c r="BZ213" s="59" t="str">
        <f t="shared" si="536"/>
        <v>NA</v>
      </c>
      <c r="CA213" s="59" t="str">
        <f t="shared" si="537"/>
        <v/>
      </c>
      <c r="CB213" s="59" t="str">
        <f t="shared" si="538"/>
        <v>NA</v>
      </c>
      <c r="CC213" s="59" t="str">
        <f t="shared" si="539"/>
        <v/>
      </c>
      <c r="CD213" s="59" t="str">
        <f t="shared" si="540"/>
        <v>NA</v>
      </c>
      <c r="CE213" s="59" t="str">
        <f t="shared" si="541"/>
        <v/>
      </c>
      <c r="CF213" s="59" t="str">
        <f t="shared" si="542"/>
        <v>NA</v>
      </c>
      <c r="CG213" s="59" t="str">
        <f t="shared" ca="1" si="543"/>
        <v>NA</v>
      </c>
      <c r="CH213" s="59" t="str">
        <f t="shared" ca="1" si="544"/>
        <v>NA</v>
      </c>
      <c r="CI213" s="59" t="str">
        <f t="shared" ca="1" si="545"/>
        <v>DE 21 A 25 DIAS</v>
      </c>
      <c r="CJ213" s="59" t="str">
        <f t="shared" ca="1" si="546"/>
        <v>DE 21 A 25 DIAS</v>
      </c>
      <c r="CK213" s="59" t="str">
        <f t="shared" ca="1" si="547"/>
        <v>DE 21 A 25 DIAS</v>
      </c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>
        <f t="shared" si="559"/>
        <v>0</v>
      </c>
      <c r="DH213" s="8">
        <f t="shared" si="560"/>
        <v>0</v>
      </c>
      <c r="DI213" s="8">
        <f t="shared" si="561"/>
        <v>0</v>
      </c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59" t="str">
        <f t="shared" si="562"/>
        <v>NA</v>
      </c>
      <c r="DU213" s="59" t="str">
        <f t="shared" si="563"/>
        <v>NA</v>
      </c>
      <c r="DV213" s="59" t="str">
        <f t="shared" si="564"/>
        <v>NA</v>
      </c>
      <c r="DW213" s="59" t="str">
        <f t="shared" si="565"/>
        <v>NA</v>
      </c>
      <c r="DX213" s="59" t="str">
        <f t="shared" si="566"/>
        <v>NA</v>
      </c>
      <c r="DY213" s="59" t="str">
        <f t="shared" si="567"/>
        <v>NA</v>
      </c>
      <c r="DZ213" s="59" t="str">
        <f t="shared" si="568"/>
        <v>NA</v>
      </c>
      <c r="EA213" s="59" t="str">
        <f t="shared" si="569"/>
        <v>NA</v>
      </c>
      <c r="EB213" s="59" t="str">
        <f t="shared" si="570"/>
        <v>NA</v>
      </c>
      <c r="EC213" s="59" t="str">
        <f t="shared" si="571"/>
        <v>NA</v>
      </c>
      <c r="ED213" s="59" t="str">
        <f t="shared" si="572"/>
        <v/>
      </c>
      <c r="EE213" s="59" t="str">
        <f t="shared" si="573"/>
        <v/>
      </c>
      <c r="EF213" s="59" t="str">
        <f t="shared" si="574"/>
        <v/>
      </c>
      <c r="EG213" s="59" t="str">
        <f t="shared" si="575"/>
        <v/>
      </c>
      <c r="EH213" s="59" t="str">
        <f t="shared" si="576"/>
        <v/>
      </c>
      <c r="EI213" s="59" t="str">
        <f t="shared" si="577"/>
        <v/>
      </c>
      <c r="EJ213" s="59" t="str">
        <f t="shared" si="578"/>
        <v/>
      </c>
      <c r="EK213" s="59" t="str">
        <f t="shared" si="579"/>
        <v/>
      </c>
      <c r="EL213" s="59" t="str">
        <f t="shared" si="580"/>
        <v/>
      </c>
      <c r="EM213" s="59" t="str">
        <f t="shared" si="581"/>
        <v/>
      </c>
      <c r="EN213" s="59" t="str">
        <f t="shared" si="582"/>
        <v/>
      </c>
      <c r="EO213" s="59" t="str">
        <f t="shared" si="583"/>
        <v/>
      </c>
      <c r="EP213" s="59" t="str">
        <f t="shared" si="584"/>
        <v/>
      </c>
      <c r="EQ213" s="59" t="str">
        <f t="shared" si="585"/>
        <v/>
      </c>
      <c r="ER213" s="59" t="str">
        <f t="shared" si="586"/>
        <v/>
      </c>
      <c r="ES213" s="59" t="str">
        <f t="shared" si="587"/>
        <v/>
      </c>
      <c r="ET213" s="59" t="str">
        <f t="shared" si="588"/>
        <v/>
      </c>
      <c r="EU213" s="59" t="str">
        <f t="shared" si="589"/>
        <v/>
      </c>
      <c r="EV213" s="59" t="str">
        <f t="shared" si="590"/>
        <v/>
      </c>
      <c r="EW213" s="59" t="str">
        <f t="shared" si="591"/>
        <v/>
      </c>
      <c r="EX213" s="56">
        <f t="shared" si="548"/>
        <v>1126000</v>
      </c>
    </row>
    <row r="214" spans="1:154" x14ac:dyDescent="0.25">
      <c r="A214" s="2">
        <f t="shared" si="592"/>
        <v>213</v>
      </c>
      <c r="B214" s="2" t="s">
        <v>6</v>
      </c>
      <c r="C214" s="2" t="str">
        <f t="shared" si="549"/>
        <v>030419</v>
      </c>
      <c r="D214" s="2">
        <v>3</v>
      </c>
      <c r="E214" s="2">
        <v>4</v>
      </c>
      <c r="F214" s="2">
        <v>19</v>
      </c>
      <c r="G214" s="11" t="s">
        <v>21</v>
      </c>
      <c r="H214" s="4"/>
      <c r="I214" s="42" t="s">
        <v>58</v>
      </c>
      <c r="J214" s="9">
        <v>80</v>
      </c>
      <c r="K214" s="5"/>
      <c r="L214" s="6" t="s">
        <v>306</v>
      </c>
      <c r="M214" s="22" t="s">
        <v>176</v>
      </c>
      <c r="N214" s="7">
        <f t="shared" si="593"/>
        <v>1126000</v>
      </c>
      <c r="O214" s="8">
        <v>252</v>
      </c>
      <c r="P214" s="25">
        <v>41182</v>
      </c>
      <c r="Q214" s="8" t="str">
        <f t="shared" si="550"/>
        <v>2DA-SEP</v>
      </c>
      <c r="R214" s="26">
        <v>0.3</v>
      </c>
      <c r="S214" s="41" t="s">
        <v>34</v>
      </c>
      <c r="T214" s="8" t="s">
        <v>352</v>
      </c>
      <c r="U214" s="8"/>
      <c r="V214" s="7">
        <v>563000</v>
      </c>
      <c r="W214" s="7">
        <f t="shared" si="634"/>
        <v>354690</v>
      </c>
      <c r="X214" s="7">
        <f t="shared" si="551"/>
        <v>208310</v>
      </c>
      <c r="Y214" s="7">
        <v>0</v>
      </c>
      <c r="Z214" s="7">
        <f t="shared" si="552"/>
        <v>354690</v>
      </c>
      <c r="AA214" s="148" t="str">
        <f t="shared" si="553"/>
        <v>65%</v>
      </c>
      <c r="AB214" s="148">
        <f t="shared" si="554"/>
        <v>0.35</v>
      </c>
      <c r="AC214" s="25">
        <f ca="1">TODAY()-29</f>
        <v>41093</v>
      </c>
      <c r="AD214" s="25">
        <f t="shared" ref="AD214:AE214" ca="1" si="637">TODAY()-29</f>
        <v>41093</v>
      </c>
      <c r="AE214" s="25">
        <f t="shared" ca="1" si="637"/>
        <v>41093</v>
      </c>
      <c r="AF214" s="8"/>
      <c r="AG214" s="59" t="str">
        <f t="shared" ca="1" si="556"/>
        <v>NA</v>
      </c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59" t="str">
        <f t="shared" si="605"/>
        <v>NA</v>
      </c>
      <c r="AS214" s="59" t="str">
        <f t="shared" si="606"/>
        <v/>
      </c>
      <c r="AT214" s="59"/>
      <c r="AU214" s="59" t="str">
        <f t="shared" si="534"/>
        <v>ND</v>
      </c>
      <c r="AV214" s="66"/>
      <c r="AW214" s="66"/>
      <c r="AX214" s="66"/>
      <c r="AY214" s="66"/>
      <c r="AZ214" s="8"/>
      <c r="BA214" s="8" t="s">
        <v>37</v>
      </c>
      <c r="BB214" s="8"/>
      <c r="BC214" s="8"/>
      <c r="BD214" s="8"/>
      <c r="BE214" s="8"/>
      <c r="BF214" s="8"/>
      <c r="BG214" s="8"/>
      <c r="BH214" s="8"/>
      <c r="BI214" s="8"/>
      <c r="BJ214" s="8"/>
      <c r="BK214" s="59"/>
      <c r="BL214" s="59"/>
      <c r="BM214" s="59"/>
      <c r="BN214" s="164">
        <v>0.01</v>
      </c>
      <c r="BO214" s="165">
        <f t="shared" si="557"/>
        <v>3753.3333333333335</v>
      </c>
      <c r="BP214" s="165">
        <f t="shared" ref="BP214:BQ214" si="638">BO214</f>
        <v>3753.3333333333335</v>
      </c>
      <c r="BQ214" s="165">
        <f t="shared" si="638"/>
        <v>3753.3333333333335</v>
      </c>
      <c r="BR214" s="59"/>
      <c r="BS214" s="59"/>
      <c r="BT214" s="59"/>
      <c r="BU214" s="59"/>
      <c r="BV214" s="59" t="str">
        <f t="shared" si="598"/>
        <v>ND</v>
      </c>
      <c r="BW214" s="59" t="str">
        <f t="shared" si="599"/>
        <v>ND</v>
      </c>
      <c r="BX214" s="59" t="str">
        <f t="shared" si="600"/>
        <v>ND</v>
      </c>
      <c r="BY214" s="59" t="str">
        <f t="shared" si="601"/>
        <v>ND</v>
      </c>
      <c r="BZ214" s="59" t="str">
        <f t="shared" si="536"/>
        <v>NA</v>
      </c>
      <c r="CA214" s="59" t="str">
        <f t="shared" si="537"/>
        <v/>
      </c>
      <c r="CB214" s="59" t="str">
        <f t="shared" si="538"/>
        <v>NA</v>
      </c>
      <c r="CC214" s="59" t="str">
        <f t="shared" si="539"/>
        <v/>
      </c>
      <c r="CD214" s="59" t="str">
        <f t="shared" si="540"/>
        <v>NA</v>
      </c>
      <c r="CE214" s="59" t="str">
        <f t="shared" si="541"/>
        <v/>
      </c>
      <c r="CF214" s="59" t="str">
        <f t="shared" si="542"/>
        <v>NA</v>
      </c>
      <c r="CG214" s="59" t="str">
        <f t="shared" ca="1" si="543"/>
        <v>NA</v>
      </c>
      <c r="CH214" s="59" t="str">
        <f t="shared" ca="1" si="544"/>
        <v>NA</v>
      </c>
      <c r="CI214" s="59" t="str">
        <f t="shared" ca="1" si="545"/>
        <v>DE 26 A 29 DIAS</v>
      </c>
      <c r="CJ214" s="59" t="str">
        <f t="shared" ca="1" si="546"/>
        <v>DE 26 A 29 DIAS</v>
      </c>
      <c r="CK214" s="59" t="str">
        <f t="shared" ca="1" si="547"/>
        <v>DE 26 A 29 DIAS</v>
      </c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>
        <f t="shared" si="559"/>
        <v>0</v>
      </c>
      <c r="DH214" s="8">
        <f t="shared" si="560"/>
        <v>0</v>
      </c>
      <c r="DI214" s="8">
        <f t="shared" si="561"/>
        <v>0</v>
      </c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59" t="str">
        <f t="shared" si="562"/>
        <v>NA</v>
      </c>
      <c r="DU214" s="59" t="str">
        <f t="shared" si="563"/>
        <v>NA</v>
      </c>
      <c r="DV214" s="59" t="str">
        <f t="shared" si="564"/>
        <v>NA</v>
      </c>
      <c r="DW214" s="59" t="str">
        <f t="shared" si="565"/>
        <v>NA</v>
      </c>
      <c r="DX214" s="59" t="str">
        <f t="shared" si="566"/>
        <v>NA</v>
      </c>
      <c r="DY214" s="59" t="str">
        <f t="shared" si="567"/>
        <v>NA</v>
      </c>
      <c r="DZ214" s="59" t="str">
        <f t="shared" si="568"/>
        <v>NA</v>
      </c>
      <c r="EA214" s="59" t="str">
        <f t="shared" si="569"/>
        <v>NA</v>
      </c>
      <c r="EB214" s="59" t="str">
        <f t="shared" si="570"/>
        <v>NA</v>
      </c>
      <c r="EC214" s="59" t="str">
        <f t="shared" si="571"/>
        <v>NA</v>
      </c>
      <c r="ED214" s="59" t="str">
        <f t="shared" si="572"/>
        <v/>
      </c>
      <c r="EE214" s="59" t="str">
        <f t="shared" si="573"/>
        <v/>
      </c>
      <c r="EF214" s="59" t="str">
        <f t="shared" si="574"/>
        <v/>
      </c>
      <c r="EG214" s="59" t="str">
        <f t="shared" si="575"/>
        <v/>
      </c>
      <c r="EH214" s="59" t="str">
        <f t="shared" si="576"/>
        <v/>
      </c>
      <c r="EI214" s="59" t="str">
        <f t="shared" si="577"/>
        <v/>
      </c>
      <c r="EJ214" s="59" t="str">
        <f t="shared" si="578"/>
        <v/>
      </c>
      <c r="EK214" s="59" t="str">
        <f t="shared" si="579"/>
        <v/>
      </c>
      <c r="EL214" s="59" t="str">
        <f t="shared" si="580"/>
        <v/>
      </c>
      <c r="EM214" s="59" t="str">
        <f t="shared" si="581"/>
        <v/>
      </c>
      <c r="EN214" s="59" t="str">
        <f t="shared" si="582"/>
        <v/>
      </c>
      <c r="EO214" s="59" t="str">
        <f t="shared" si="583"/>
        <v/>
      </c>
      <c r="EP214" s="59" t="str">
        <f t="shared" si="584"/>
        <v/>
      </c>
      <c r="EQ214" s="59" t="str">
        <f t="shared" si="585"/>
        <v/>
      </c>
      <c r="ER214" s="59" t="str">
        <f t="shared" si="586"/>
        <v/>
      </c>
      <c r="ES214" s="59" t="str">
        <f t="shared" si="587"/>
        <v/>
      </c>
      <c r="ET214" s="59" t="str">
        <f t="shared" si="588"/>
        <v/>
      </c>
      <c r="EU214" s="59" t="str">
        <f t="shared" si="589"/>
        <v/>
      </c>
      <c r="EV214" s="59" t="str">
        <f t="shared" si="590"/>
        <v/>
      </c>
      <c r="EW214" s="59" t="str">
        <f t="shared" si="591"/>
        <v/>
      </c>
      <c r="EX214" s="56">
        <f t="shared" si="548"/>
        <v>1126000</v>
      </c>
    </row>
    <row r="215" spans="1:154" x14ac:dyDescent="0.25">
      <c r="A215" s="2">
        <f t="shared" si="592"/>
        <v>214</v>
      </c>
      <c r="B215" s="2" t="s">
        <v>6</v>
      </c>
      <c r="C215" s="2" t="str">
        <f t="shared" si="549"/>
        <v>030420</v>
      </c>
      <c r="D215" s="2">
        <v>3</v>
      </c>
      <c r="E215" s="2">
        <v>4</v>
      </c>
      <c r="F215" s="2">
        <v>20</v>
      </c>
      <c r="G215" s="11" t="s">
        <v>21</v>
      </c>
      <c r="H215" s="4"/>
      <c r="I215" s="42" t="s">
        <v>58</v>
      </c>
      <c r="J215" s="9">
        <v>80</v>
      </c>
      <c r="K215" s="9"/>
      <c r="L215" s="10" t="s">
        <v>8</v>
      </c>
      <c r="M215" s="22" t="s">
        <v>176</v>
      </c>
      <c r="N215" s="7">
        <f t="shared" si="593"/>
        <v>1135000</v>
      </c>
      <c r="O215" s="8">
        <v>253</v>
      </c>
      <c r="P215" s="25">
        <v>41182</v>
      </c>
      <c r="Q215" s="8" t="str">
        <f t="shared" si="550"/>
        <v>2DA-SEP</v>
      </c>
      <c r="R215" s="26">
        <v>0.3</v>
      </c>
      <c r="S215" s="41" t="s">
        <v>34</v>
      </c>
      <c r="T215" s="8" t="s">
        <v>352</v>
      </c>
      <c r="U215" s="8"/>
      <c r="V215" s="7">
        <v>567500</v>
      </c>
      <c r="W215" s="7">
        <f t="shared" si="634"/>
        <v>357525</v>
      </c>
      <c r="X215" s="7">
        <f t="shared" si="551"/>
        <v>209975</v>
      </c>
      <c r="Y215" s="7">
        <v>0</v>
      </c>
      <c r="Z215" s="7">
        <f t="shared" si="552"/>
        <v>357525</v>
      </c>
      <c r="AA215" s="148" t="str">
        <f t="shared" si="553"/>
        <v>65%</v>
      </c>
      <c r="AB215" s="148">
        <f t="shared" si="554"/>
        <v>0.35</v>
      </c>
      <c r="AC215" s="25">
        <f ca="1">TODAY()-30</f>
        <v>41092</v>
      </c>
      <c r="AD215" s="25">
        <f t="shared" ref="AD215:AE215" ca="1" si="639">TODAY()-30</f>
        <v>41092</v>
      </c>
      <c r="AE215" s="25">
        <f t="shared" ca="1" si="639"/>
        <v>41092</v>
      </c>
      <c r="AF215" s="8"/>
      <c r="AG215" s="59" t="str">
        <f t="shared" ca="1" si="556"/>
        <v>NA</v>
      </c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59" t="str">
        <f t="shared" si="605"/>
        <v>NA</v>
      </c>
      <c r="AS215" s="59" t="str">
        <f t="shared" si="606"/>
        <v/>
      </c>
      <c r="AT215" s="59"/>
      <c r="AU215" s="59" t="str">
        <f t="shared" si="534"/>
        <v>ND</v>
      </c>
      <c r="AV215" s="66"/>
      <c r="AW215" s="66"/>
      <c r="AX215" s="66"/>
      <c r="AY215" s="66"/>
      <c r="AZ215" s="8"/>
      <c r="BA215" s="8" t="s">
        <v>37</v>
      </c>
      <c r="BB215" s="8"/>
      <c r="BC215" s="8"/>
      <c r="BD215" s="8"/>
      <c r="BE215" s="8"/>
      <c r="BF215" s="8"/>
      <c r="BG215" s="8"/>
      <c r="BH215" s="8"/>
      <c r="BI215" s="8"/>
      <c r="BJ215" s="8"/>
      <c r="BK215" s="59"/>
      <c r="BL215" s="59"/>
      <c r="BM215" s="59"/>
      <c r="BN215" s="164">
        <v>0.01</v>
      </c>
      <c r="BO215" s="165">
        <f t="shared" si="557"/>
        <v>3783.3333333333335</v>
      </c>
      <c r="BP215" s="165">
        <f t="shared" ref="BP215:BQ215" si="640">BO215</f>
        <v>3783.3333333333335</v>
      </c>
      <c r="BQ215" s="165">
        <f t="shared" si="640"/>
        <v>3783.3333333333335</v>
      </c>
      <c r="BR215" s="59"/>
      <c r="BS215" s="59"/>
      <c r="BT215" s="59"/>
      <c r="BU215" s="59"/>
      <c r="BV215" s="59" t="str">
        <f t="shared" si="598"/>
        <v>ND</v>
      </c>
      <c r="BW215" s="59" t="str">
        <f t="shared" si="599"/>
        <v>ND</v>
      </c>
      <c r="BX215" s="59" t="str">
        <f t="shared" si="600"/>
        <v>ND</v>
      </c>
      <c r="BY215" s="59" t="str">
        <f t="shared" si="601"/>
        <v>ND</v>
      </c>
      <c r="BZ215" s="59" t="str">
        <f t="shared" si="536"/>
        <v>NA</v>
      </c>
      <c r="CA215" s="59" t="str">
        <f t="shared" si="537"/>
        <v/>
      </c>
      <c r="CB215" s="59" t="str">
        <f t="shared" si="538"/>
        <v>NA</v>
      </c>
      <c r="CC215" s="59" t="str">
        <f t="shared" si="539"/>
        <v/>
      </c>
      <c r="CD215" s="59" t="str">
        <f t="shared" si="540"/>
        <v>NA</v>
      </c>
      <c r="CE215" s="59" t="str">
        <f t="shared" si="541"/>
        <v/>
      </c>
      <c r="CF215" s="59" t="str">
        <f t="shared" si="542"/>
        <v>NA</v>
      </c>
      <c r="CG215" s="59" t="str">
        <f t="shared" ca="1" si="543"/>
        <v>NA</v>
      </c>
      <c r="CH215" s="59" t="str">
        <f t="shared" ca="1" si="544"/>
        <v>NA</v>
      </c>
      <c r="CI215" s="59" t="str">
        <f t="shared" ca="1" si="545"/>
        <v>30 DIAS</v>
      </c>
      <c r="CJ215" s="59" t="str">
        <f t="shared" ca="1" si="546"/>
        <v>30 DIAS</v>
      </c>
      <c r="CK215" s="59" t="str">
        <f t="shared" ca="1" si="547"/>
        <v>30 DIAS</v>
      </c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>
        <f t="shared" si="559"/>
        <v>0</v>
      </c>
      <c r="DH215" s="8">
        <f t="shared" si="560"/>
        <v>0</v>
      </c>
      <c r="DI215" s="8">
        <f t="shared" si="561"/>
        <v>0</v>
      </c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59" t="str">
        <f t="shared" si="562"/>
        <v>NA</v>
      </c>
      <c r="DU215" s="59" t="str">
        <f t="shared" si="563"/>
        <v>NA</v>
      </c>
      <c r="DV215" s="59" t="str">
        <f t="shared" si="564"/>
        <v>NA</v>
      </c>
      <c r="DW215" s="59" t="str">
        <f t="shared" si="565"/>
        <v>NA</v>
      </c>
      <c r="DX215" s="59" t="str">
        <f t="shared" si="566"/>
        <v>NA</v>
      </c>
      <c r="DY215" s="59" t="str">
        <f t="shared" si="567"/>
        <v>NA</v>
      </c>
      <c r="DZ215" s="59" t="str">
        <f t="shared" si="568"/>
        <v>NA</v>
      </c>
      <c r="EA215" s="59" t="str">
        <f t="shared" si="569"/>
        <v>NA</v>
      </c>
      <c r="EB215" s="59" t="str">
        <f t="shared" si="570"/>
        <v>NA</v>
      </c>
      <c r="EC215" s="59" t="str">
        <f t="shared" si="571"/>
        <v>NA</v>
      </c>
      <c r="ED215" s="59" t="str">
        <f t="shared" si="572"/>
        <v/>
      </c>
      <c r="EE215" s="59" t="str">
        <f t="shared" si="573"/>
        <v/>
      </c>
      <c r="EF215" s="59" t="str">
        <f t="shared" si="574"/>
        <v/>
      </c>
      <c r="EG215" s="59" t="str">
        <f t="shared" si="575"/>
        <v/>
      </c>
      <c r="EH215" s="59" t="str">
        <f t="shared" si="576"/>
        <v/>
      </c>
      <c r="EI215" s="59" t="str">
        <f t="shared" si="577"/>
        <v/>
      </c>
      <c r="EJ215" s="59" t="str">
        <f t="shared" si="578"/>
        <v/>
      </c>
      <c r="EK215" s="59" t="str">
        <f t="shared" si="579"/>
        <v/>
      </c>
      <c r="EL215" s="59" t="str">
        <f t="shared" si="580"/>
        <v/>
      </c>
      <c r="EM215" s="59" t="str">
        <f t="shared" si="581"/>
        <v/>
      </c>
      <c r="EN215" s="59" t="str">
        <f t="shared" si="582"/>
        <v/>
      </c>
      <c r="EO215" s="59" t="str">
        <f t="shared" si="583"/>
        <v/>
      </c>
      <c r="EP215" s="59" t="str">
        <f t="shared" si="584"/>
        <v/>
      </c>
      <c r="EQ215" s="59" t="str">
        <f t="shared" si="585"/>
        <v/>
      </c>
      <c r="ER215" s="59" t="str">
        <f t="shared" si="586"/>
        <v/>
      </c>
      <c r="ES215" s="59" t="str">
        <f t="shared" si="587"/>
        <v/>
      </c>
      <c r="ET215" s="59" t="str">
        <f t="shared" si="588"/>
        <v/>
      </c>
      <c r="EU215" s="59" t="str">
        <f t="shared" si="589"/>
        <v/>
      </c>
      <c r="EV215" s="59" t="str">
        <f t="shared" si="590"/>
        <v/>
      </c>
      <c r="EW215" s="59" t="str">
        <f t="shared" si="591"/>
        <v/>
      </c>
      <c r="EX215" s="56">
        <f t="shared" si="548"/>
        <v>1135000</v>
      </c>
    </row>
    <row r="216" spans="1:154" x14ac:dyDescent="0.25">
      <c r="A216" s="2">
        <f t="shared" si="592"/>
        <v>215</v>
      </c>
      <c r="B216" s="2" t="s">
        <v>6</v>
      </c>
      <c r="C216" s="2" t="str">
        <f t="shared" si="549"/>
        <v>030421</v>
      </c>
      <c r="D216" s="2">
        <v>3</v>
      </c>
      <c r="E216" s="2">
        <v>4</v>
      </c>
      <c r="F216" s="2">
        <v>21</v>
      </c>
      <c r="G216" s="11" t="s">
        <v>21</v>
      </c>
      <c r="H216" s="4"/>
      <c r="I216" s="42" t="s">
        <v>58</v>
      </c>
      <c r="J216" s="9">
        <v>80</v>
      </c>
      <c r="K216" s="5"/>
      <c r="L216" s="6" t="s">
        <v>306</v>
      </c>
      <c r="M216" s="22" t="s">
        <v>176</v>
      </c>
      <c r="N216" s="7">
        <f t="shared" si="593"/>
        <v>1126000</v>
      </c>
      <c r="O216" s="8">
        <v>254</v>
      </c>
      <c r="P216" s="25">
        <v>41182</v>
      </c>
      <c r="Q216" s="8" t="str">
        <f t="shared" si="550"/>
        <v>2DA-SEP</v>
      </c>
      <c r="R216" s="26">
        <v>0.3</v>
      </c>
      <c r="S216" s="41" t="s">
        <v>34</v>
      </c>
      <c r="T216" s="8" t="s">
        <v>352</v>
      </c>
      <c r="U216" s="8"/>
      <c r="V216" s="7">
        <v>563000</v>
      </c>
      <c r="W216" s="7">
        <f t="shared" si="634"/>
        <v>354690</v>
      </c>
      <c r="X216" s="7">
        <f t="shared" si="551"/>
        <v>208310</v>
      </c>
      <c r="Y216" s="7">
        <v>0</v>
      </c>
      <c r="Z216" s="7">
        <f t="shared" si="552"/>
        <v>354690</v>
      </c>
      <c r="AA216" s="148" t="str">
        <f t="shared" si="553"/>
        <v>65%</v>
      </c>
      <c r="AB216" s="148">
        <f t="shared" si="554"/>
        <v>0.35</v>
      </c>
      <c r="AC216" s="25">
        <f ca="1">TODAY()-34</f>
        <v>41088</v>
      </c>
      <c r="AD216" s="25">
        <f t="shared" ref="AD216:AE216" ca="1" si="641">TODAY()-34</f>
        <v>41088</v>
      </c>
      <c r="AE216" s="25">
        <f t="shared" ca="1" si="641"/>
        <v>41088</v>
      </c>
      <c r="AF216" s="8"/>
      <c r="AG216" s="59" t="str">
        <f t="shared" ca="1" si="556"/>
        <v>NA</v>
      </c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59" t="str">
        <f t="shared" si="605"/>
        <v>NA</v>
      </c>
      <c r="AS216" s="59" t="str">
        <f t="shared" si="606"/>
        <v/>
      </c>
      <c r="AT216" s="59"/>
      <c r="AU216" s="59" t="str">
        <f t="shared" si="534"/>
        <v>ND</v>
      </c>
      <c r="AV216" s="66"/>
      <c r="AW216" s="66"/>
      <c r="AX216" s="66"/>
      <c r="AY216" s="66"/>
      <c r="AZ216" s="8"/>
      <c r="BA216" s="8" t="s">
        <v>37</v>
      </c>
      <c r="BB216" s="8"/>
      <c r="BC216" s="8"/>
      <c r="BD216" s="8"/>
      <c r="BE216" s="8"/>
      <c r="BF216" s="8"/>
      <c r="BG216" s="8"/>
      <c r="BH216" s="8"/>
      <c r="BI216" s="8"/>
      <c r="BJ216" s="8"/>
      <c r="BK216" s="59"/>
      <c r="BL216" s="59"/>
      <c r="BM216" s="59"/>
      <c r="BN216" s="164">
        <v>0.01</v>
      </c>
      <c r="BO216" s="165">
        <f t="shared" si="557"/>
        <v>3753.3333333333335</v>
      </c>
      <c r="BP216" s="165">
        <f t="shared" ref="BP216:BQ216" si="642">BO216</f>
        <v>3753.3333333333335</v>
      </c>
      <c r="BQ216" s="165">
        <f t="shared" si="642"/>
        <v>3753.3333333333335</v>
      </c>
      <c r="BR216" s="59"/>
      <c r="BS216" s="59"/>
      <c r="BT216" s="59"/>
      <c r="BU216" s="59"/>
      <c r="BV216" s="59" t="str">
        <f t="shared" si="598"/>
        <v>ND</v>
      </c>
      <c r="BW216" s="59" t="str">
        <f t="shared" si="599"/>
        <v>ND</v>
      </c>
      <c r="BX216" s="59" t="str">
        <f t="shared" si="600"/>
        <v>ND</v>
      </c>
      <c r="BY216" s="59" t="str">
        <f t="shared" si="601"/>
        <v>ND</v>
      </c>
      <c r="BZ216" s="59" t="str">
        <f t="shared" si="536"/>
        <v>NA</v>
      </c>
      <c r="CA216" s="59" t="str">
        <f t="shared" si="537"/>
        <v/>
      </c>
      <c r="CB216" s="59" t="str">
        <f t="shared" si="538"/>
        <v>NA</v>
      </c>
      <c r="CC216" s="59" t="str">
        <f t="shared" si="539"/>
        <v/>
      </c>
      <c r="CD216" s="59" t="str">
        <f t="shared" si="540"/>
        <v>NA</v>
      </c>
      <c r="CE216" s="59" t="str">
        <f t="shared" si="541"/>
        <v/>
      </c>
      <c r="CF216" s="59" t="str">
        <f t="shared" si="542"/>
        <v>NA</v>
      </c>
      <c r="CG216" s="59" t="str">
        <f t="shared" ca="1" si="543"/>
        <v>NA</v>
      </c>
      <c r="CH216" s="59" t="str">
        <f t="shared" ca="1" si="544"/>
        <v>NA</v>
      </c>
      <c r="CI216" s="59" t="str">
        <f t="shared" ca="1" si="545"/>
        <v>DE 31 A 35 DIAS</v>
      </c>
      <c r="CJ216" s="59" t="str">
        <f t="shared" ca="1" si="546"/>
        <v>DE 31 A 35 DIAS</v>
      </c>
      <c r="CK216" s="59" t="str">
        <f t="shared" ca="1" si="547"/>
        <v>DE 31 A 35 DIAS</v>
      </c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>
        <f t="shared" si="559"/>
        <v>0</v>
      </c>
      <c r="DH216" s="8">
        <f t="shared" si="560"/>
        <v>0</v>
      </c>
      <c r="DI216" s="8">
        <f t="shared" si="561"/>
        <v>0</v>
      </c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59" t="str">
        <f t="shared" si="562"/>
        <v>NA</v>
      </c>
      <c r="DU216" s="59" t="str">
        <f t="shared" si="563"/>
        <v>NA</v>
      </c>
      <c r="DV216" s="59" t="str">
        <f t="shared" si="564"/>
        <v>NA</v>
      </c>
      <c r="DW216" s="59" t="str">
        <f t="shared" si="565"/>
        <v>NA</v>
      </c>
      <c r="DX216" s="59" t="str">
        <f t="shared" si="566"/>
        <v>NA</v>
      </c>
      <c r="DY216" s="59" t="str">
        <f t="shared" si="567"/>
        <v>NA</v>
      </c>
      <c r="DZ216" s="59" t="str">
        <f t="shared" si="568"/>
        <v>NA</v>
      </c>
      <c r="EA216" s="59" t="str">
        <f t="shared" si="569"/>
        <v>NA</v>
      </c>
      <c r="EB216" s="59" t="str">
        <f t="shared" si="570"/>
        <v>NA</v>
      </c>
      <c r="EC216" s="59" t="str">
        <f t="shared" si="571"/>
        <v>NA</v>
      </c>
      <c r="ED216" s="59" t="str">
        <f t="shared" si="572"/>
        <v/>
      </c>
      <c r="EE216" s="59" t="str">
        <f t="shared" si="573"/>
        <v/>
      </c>
      <c r="EF216" s="59" t="str">
        <f t="shared" si="574"/>
        <v/>
      </c>
      <c r="EG216" s="59" t="str">
        <f t="shared" si="575"/>
        <v/>
      </c>
      <c r="EH216" s="59" t="str">
        <f t="shared" si="576"/>
        <v/>
      </c>
      <c r="EI216" s="59" t="str">
        <f t="shared" si="577"/>
        <v/>
      </c>
      <c r="EJ216" s="59" t="str">
        <f t="shared" si="578"/>
        <v/>
      </c>
      <c r="EK216" s="59" t="str">
        <f t="shared" si="579"/>
        <v/>
      </c>
      <c r="EL216" s="59" t="str">
        <f t="shared" si="580"/>
        <v/>
      </c>
      <c r="EM216" s="59" t="str">
        <f t="shared" si="581"/>
        <v/>
      </c>
      <c r="EN216" s="59" t="str">
        <f t="shared" si="582"/>
        <v/>
      </c>
      <c r="EO216" s="59" t="str">
        <f t="shared" si="583"/>
        <v/>
      </c>
      <c r="EP216" s="59" t="str">
        <f t="shared" si="584"/>
        <v/>
      </c>
      <c r="EQ216" s="59" t="str">
        <f t="shared" si="585"/>
        <v/>
      </c>
      <c r="ER216" s="59" t="str">
        <f t="shared" si="586"/>
        <v/>
      </c>
      <c r="ES216" s="59" t="str">
        <f t="shared" si="587"/>
        <v/>
      </c>
      <c r="ET216" s="59" t="str">
        <f t="shared" si="588"/>
        <v/>
      </c>
      <c r="EU216" s="59" t="str">
        <f t="shared" si="589"/>
        <v/>
      </c>
      <c r="EV216" s="59" t="str">
        <f t="shared" si="590"/>
        <v/>
      </c>
      <c r="EW216" s="59" t="str">
        <f t="shared" si="591"/>
        <v/>
      </c>
      <c r="EX216" s="56">
        <f t="shared" si="548"/>
        <v>1126000</v>
      </c>
    </row>
    <row r="217" spans="1:154" x14ac:dyDescent="0.25">
      <c r="A217" s="2">
        <f t="shared" si="592"/>
        <v>216</v>
      </c>
      <c r="B217" s="2" t="s">
        <v>6</v>
      </c>
      <c r="C217" s="2" t="str">
        <f t="shared" si="549"/>
        <v>030422</v>
      </c>
      <c r="D217" s="2">
        <v>3</v>
      </c>
      <c r="E217" s="2">
        <v>4</v>
      </c>
      <c r="F217" s="2">
        <v>22</v>
      </c>
      <c r="G217" s="11" t="s">
        <v>21</v>
      </c>
      <c r="H217" s="4"/>
      <c r="I217" s="42" t="s">
        <v>58</v>
      </c>
      <c r="J217" s="9">
        <v>80</v>
      </c>
      <c r="K217" s="5"/>
      <c r="L217" s="6" t="s">
        <v>306</v>
      </c>
      <c r="M217" s="22" t="s">
        <v>176</v>
      </c>
      <c r="N217" s="7">
        <f t="shared" si="593"/>
        <v>1126000</v>
      </c>
      <c r="O217" s="8">
        <v>255</v>
      </c>
      <c r="P217" s="25">
        <v>41182</v>
      </c>
      <c r="Q217" s="8" t="str">
        <f t="shared" si="550"/>
        <v>2DA-SEP</v>
      </c>
      <c r="R217" s="26">
        <v>0.3</v>
      </c>
      <c r="S217" s="41" t="s">
        <v>34</v>
      </c>
      <c r="T217" s="8" t="s">
        <v>352</v>
      </c>
      <c r="U217" s="8"/>
      <c r="V217" s="7">
        <v>563000</v>
      </c>
      <c r="W217" s="7">
        <f t="shared" si="634"/>
        <v>354690</v>
      </c>
      <c r="X217" s="7">
        <f t="shared" si="551"/>
        <v>208310</v>
      </c>
      <c r="Y217" s="7">
        <v>0</v>
      </c>
      <c r="Z217" s="7">
        <f t="shared" si="552"/>
        <v>354690</v>
      </c>
      <c r="AA217" s="148" t="str">
        <f t="shared" si="553"/>
        <v>65%</v>
      </c>
      <c r="AB217" s="148">
        <f t="shared" si="554"/>
        <v>0.35</v>
      </c>
      <c r="AC217" s="25">
        <f ca="1">TODAY()-39</f>
        <v>41083</v>
      </c>
      <c r="AD217" s="25">
        <f t="shared" ref="AD217:AE217" ca="1" si="643">TODAY()-39</f>
        <v>41083</v>
      </c>
      <c r="AE217" s="25">
        <f t="shared" ca="1" si="643"/>
        <v>41083</v>
      </c>
      <c r="AF217" s="8"/>
      <c r="AG217" s="59" t="str">
        <f t="shared" ca="1" si="556"/>
        <v>NA</v>
      </c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59" t="str">
        <f t="shared" si="605"/>
        <v>NA</v>
      </c>
      <c r="AS217" s="59" t="str">
        <f t="shared" si="606"/>
        <v/>
      </c>
      <c r="AT217" s="59"/>
      <c r="AU217" s="59" t="str">
        <f t="shared" si="534"/>
        <v>ND</v>
      </c>
      <c r="AV217" s="66"/>
      <c r="AW217" s="66"/>
      <c r="AX217" s="66"/>
      <c r="AY217" s="66"/>
      <c r="AZ217" s="8"/>
      <c r="BA217" s="8" t="s">
        <v>37</v>
      </c>
      <c r="BB217" s="8"/>
      <c r="BC217" s="8"/>
      <c r="BD217" s="8"/>
      <c r="BE217" s="8"/>
      <c r="BF217" s="8"/>
      <c r="BG217" s="8"/>
      <c r="BH217" s="8"/>
      <c r="BI217" s="8"/>
      <c r="BJ217" s="8"/>
      <c r="BK217" s="59"/>
      <c r="BL217" s="59"/>
      <c r="BM217" s="59"/>
      <c r="BN217" s="164">
        <v>0.01</v>
      </c>
      <c r="BO217" s="165">
        <f t="shared" si="557"/>
        <v>3753.3333333333335</v>
      </c>
      <c r="BP217" s="165">
        <f t="shared" ref="BP217:BQ217" si="644">BO217</f>
        <v>3753.3333333333335</v>
      </c>
      <c r="BQ217" s="165">
        <f t="shared" si="644"/>
        <v>3753.3333333333335</v>
      </c>
      <c r="BR217" s="59"/>
      <c r="BS217" s="59"/>
      <c r="BT217" s="59"/>
      <c r="BU217" s="59"/>
      <c r="BV217" s="59" t="str">
        <f t="shared" si="598"/>
        <v>ND</v>
      </c>
      <c r="BW217" s="59" t="str">
        <f t="shared" si="599"/>
        <v>ND</v>
      </c>
      <c r="BX217" s="59" t="str">
        <f t="shared" si="600"/>
        <v>ND</v>
      </c>
      <c r="BY217" s="59" t="str">
        <f t="shared" si="601"/>
        <v>ND</v>
      </c>
      <c r="BZ217" s="59" t="str">
        <f t="shared" si="536"/>
        <v>NA</v>
      </c>
      <c r="CA217" s="59" t="str">
        <f t="shared" si="537"/>
        <v/>
      </c>
      <c r="CB217" s="59" t="str">
        <f t="shared" si="538"/>
        <v>NA</v>
      </c>
      <c r="CC217" s="59" t="str">
        <f t="shared" si="539"/>
        <v/>
      </c>
      <c r="CD217" s="59" t="str">
        <f t="shared" si="540"/>
        <v>NA</v>
      </c>
      <c r="CE217" s="59" t="str">
        <f t="shared" si="541"/>
        <v/>
      </c>
      <c r="CF217" s="59" t="str">
        <f t="shared" si="542"/>
        <v>NA</v>
      </c>
      <c r="CG217" s="59" t="str">
        <f t="shared" ca="1" si="543"/>
        <v>NA</v>
      </c>
      <c r="CH217" s="59" t="str">
        <f t="shared" ca="1" si="544"/>
        <v>NA</v>
      </c>
      <c r="CI217" s="59" t="str">
        <f t="shared" ca="1" si="545"/>
        <v>DE 36 A 45 DIAS</v>
      </c>
      <c r="CJ217" s="59" t="str">
        <f t="shared" ca="1" si="546"/>
        <v>DE 36 A 45 DIAS</v>
      </c>
      <c r="CK217" s="59" t="str">
        <f t="shared" ca="1" si="547"/>
        <v>DE 36 A 45 DIAS</v>
      </c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>
        <f t="shared" si="559"/>
        <v>0</v>
      </c>
      <c r="DH217" s="8">
        <f t="shared" si="560"/>
        <v>0</v>
      </c>
      <c r="DI217" s="8">
        <f t="shared" si="561"/>
        <v>0</v>
      </c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59" t="str">
        <f t="shared" si="562"/>
        <v>NA</v>
      </c>
      <c r="DU217" s="59" t="str">
        <f t="shared" si="563"/>
        <v>NA</v>
      </c>
      <c r="DV217" s="59" t="str">
        <f t="shared" si="564"/>
        <v>NA</v>
      </c>
      <c r="DW217" s="59" t="str">
        <f t="shared" si="565"/>
        <v>NA</v>
      </c>
      <c r="DX217" s="59" t="str">
        <f t="shared" si="566"/>
        <v>NA</v>
      </c>
      <c r="DY217" s="59" t="str">
        <f t="shared" si="567"/>
        <v>NA</v>
      </c>
      <c r="DZ217" s="59" t="str">
        <f t="shared" si="568"/>
        <v>NA</v>
      </c>
      <c r="EA217" s="59" t="str">
        <f t="shared" si="569"/>
        <v>NA</v>
      </c>
      <c r="EB217" s="59" t="str">
        <f t="shared" si="570"/>
        <v>NA</v>
      </c>
      <c r="EC217" s="59" t="str">
        <f t="shared" si="571"/>
        <v>NA</v>
      </c>
      <c r="ED217" s="59" t="str">
        <f t="shared" si="572"/>
        <v/>
      </c>
      <c r="EE217" s="59" t="str">
        <f t="shared" si="573"/>
        <v/>
      </c>
      <c r="EF217" s="59" t="str">
        <f t="shared" si="574"/>
        <v/>
      </c>
      <c r="EG217" s="59" t="str">
        <f t="shared" si="575"/>
        <v/>
      </c>
      <c r="EH217" s="59" t="str">
        <f t="shared" si="576"/>
        <v/>
      </c>
      <c r="EI217" s="59" t="str">
        <f t="shared" si="577"/>
        <v/>
      </c>
      <c r="EJ217" s="59" t="str">
        <f t="shared" si="578"/>
        <v/>
      </c>
      <c r="EK217" s="59" t="str">
        <f t="shared" si="579"/>
        <v/>
      </c>
      <c r="EL217" s="59" t="str">
        <f t="shared" si="580"/>
        <v/>
      </c>
      <c r="EM217" s="59" t="str">
        <f t="shared" si="581"/>
        <v/>
      </c>
      <c r="EN217" s="59" t="str">
        <f t="shared" si="582"/>
        <v/>
      </c>
      <c r="EO217" s="59" t="str">
        <f t="shared" si="583"/>
        <v/>
      </c>
      <c r="EP217" s="59" t="str">
        <f t="shared" si="584"/>
        <v/>
      </c>
      <c r="EQ217" s="59" t="str">
        <f t="shared" si="585"/>
        <v/>
      </c>
      <c r="ER217" s="59" t="str">
        <f t="shared" si="586"/>
        <v/>
      </c>
      <c r="ES217" s="59" t="str">
        <f t="shared" si="587"/>
        <v/>
      </c>
      <c r="ET217" s="59" t="str">
        <f t="shared" si="588"/>
        <v/>
      </c>
      <c r="EU217" s="59" t="str">
        <f t="shared" si="589"/>
        <v/>
      </c>
      <c r="EV217" s="59" t="str">
        <f t="shared" si="590"/>
        <v/>
      </c>
      <c r="EW217" s="59" t="str">
        <f t="shared" si="591"/>
        <v/>
      </c>
      <c r="EX217" s="56">
        <f t="shared" si="548"/>
        <v>1126000</v>
      </c>
    </row>
    <row r="218" spans="1:154" x14ac:dyDescent="0.25">
      <c r="A218" s="2">
        <f t="shared" si="592"/>
        <v>217</v>
      </c>
      <c r="B218" s="2" t="s">
        <v>6</v>
      </c>
      <c r="C218" s="2" t="str">
        <f t="shared" si="549"/>
        <v>030423</v>
      </c>
      <c r="D218" s="2">
        <v>3</v>
      </c>
      <c r="E218" s="2">
        <v>4</v>
      </c>
      <c r="F218" s="2">
        <v>23</v>
      </c>
      <c r="G218" s="11" t="s">
        <v>21</v>
      </c>
      <c r="H218" s="4"/>
      <c r="I218" s="42" t="s">
        <v>58</v>
      </c>
      <c r="J218" s="9">
        <v>80</v>
      </c>
      <c r="K218" s="9"/>
      <c r="L218" s="10" t="s">
        <v>8</v>
      </c>
      <c r="M218" s="22" t="s">
        <v>176</v>
      </c>
      <c r="N218" s="7">
        <f t="shared" si="593"/>
        <v>1135000</v>
      </c>
      <c r="O218" s="8">
        <v>256</v>
      </c>
      <c r="P218" s="25">
        <v>41182</v>
      </c>
      <c r="Q218" s="8" t="str">
        <f t="shared" si="550"/>
        <v>2DA-SEP</v>
      </c>
      <c r="R218" s="26">
        <v>0.3</v>
      </c>
      <c r="S218" s="41" t="s">
        <v>34</v>
      </c>
      <c r="T218" s="8" t="s">
        <v>352</v>
      </c>
      <c r="U218" s="8"/>
      <c r="V218" s="7">
        <v>567500</v>
      </c>
      <c r="W218" s="7">
        <f t="shared" si="634"/>
        <v>357525</v>
      </c>
      <c r="X218" s="7">
        <f t="shared" si="551"/>
        <v>209975</v>
      </c>
      <c r="Y218" s="7">
        <v>0</v>
      </c>
      <c r="Z218" s="7">
        <f t="shared" si="552"/>
        <v>357525</v>
      </c>
      <c r="AA218" s="148" t="str">
        <f t="shared" si="553"/>
        <v>65%</v>
      </c>
      <c r="AB218" s="148">
        <f t="shared" si="554"/>
        <v>0.35</v>
      </c>
      <c r="AC218" s="25">
        <f ca="1">TODAY()-45</f>
        <v>41077</v>
      </c>
      <c r="AD218" s="25">
        <f t="shared" ref="AD218:AE218" ca="1" si="645">TODAY()-45</f>
        <v>41077</v>
      </c>
      <c r="AE218" s="25">
        <f t="shared" ca="1" si="645"/>
        <v>41077</v>
      </c>
      <c r="AF218" s="8"/>
      <c r="AG218" s="59" t="str">
        <f t="shared" ca="1" si="556"/>
        <v>NA</v>
      </c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59" t="str">
        <f t="shared" si="605"/>
        <v>NA</v>
      </c>
      <c r="AS218" s="59" t="str">
        <f t="shared" si="606"/>
        <v/>
      </c>
      <c r="AT218" s="59"/>
      <c r="AU218" s="59" t="str">
        <f t="shared" si="534"/>
        <v>ND</v>
      </c>
      <c r="AV218" s="66"/>
      <c r="AW218" s="66"/>
      <c r="AX218" s="66"/>
      <c r="AY218" s="66"/>
      <c r="AZ218" s="8"/>
      <c r="BA218" s="8" t="s">
        <v>37</v>
      </c>
      <c r="BB218" s="8"/>
      <c r="BC218" s="8"/>
      <c r="BD218" s="8"/>
      <c r="BE218" s="8"/>
      <c r="BF218" s="8"/>
      <c r="BG218" s="8"/>
      <c r="BH218" s="8"/>
      <c r="BI218" s="8"/>
      <c r="BJ218" s="8"/>
      <c r="BK218" s="59"/>
      <c r="BL218" s="59"/>
      <c r="BM218" s="59"/>
      <c r="BN218" s="164">
        <v>0.01</v>
      </c>
      <c r="BO218" s="165">
        <f t="shared" si="557"/>
        <v>3783.3333333333335</v>
      </c>
      <c r="BP218" s="165">
        <f t="shared" ref="BP218:BQ218" si="646">BO218</f>
        <v>3783.3333333333335</v>
      </c>
      <c r="BQ218" s="165">
        <f t="shared" si="646"/>
        <v>3783.3333333333335</v>
      </c>
      <c r="BR218" s="59"/>
      <c r="BS218" s="59"/>
      <c r="BT218" s="59"/>
      <c r="BU218" s="59"/>
      <c r="BV218" s="59" t="str">
        <f t="shared" si="598"/>
        <v>ND</v>
      </c>
      <c r="BW218" s="59" t="str">
        <f t="shared" si="599"/>
        <v>ND</v>
      </c>
      <c r="BX218" s="59" t="str">
        <f t="shared" si="600"/>
        <v>ND</v>
      </c>
      <c r="BY218" s="59" t="str">
        <f t="shared" si="601"/>
        <v>ND</v>
      </c>
      <c r="BZ218" s="59" t="str">
        <f t="shared" si="536"/>
        <v>NA</v>
      </c>
      <c r="CA218" s="59" t="str">
        <f t="shared" si="537"/>
        <v/>
      </c>
      <c r="CB218" s="59" t="str">
        <f t="shared" si="538"/>
        <v>NA</v>
      </c>
      <c r="CC218" s="59" t="str">
        <f t="shared" si="539"/>
        <v/>
      </c>
      <c r="CD218" s="59" t="str">
        <f t="shared" si="540"/>
        <v>NA</v>
      </c>
      <c r="CE218" s="59" t="str">
        <f t="shared" si="541"/>
        <v/>
      </c>
      <c r="CF218" s="59" t="str">
        <f t="shared" si="542"/>
        <v>NA</v>
      </c>
      <c r="CG218" s="59" t="str">
        <f t="shared" ca="1" si="543"/>
        <v>NA</v>
      </c>
      <c r="CH218" s="59" t="str">
        <f t="shared" ca="1" si="544"/>
        <v>NA</v>
      </c>
      <c r="CI218" s="59" t="str">
        <f t="shared" ca="1" si="545"/>
        <v>DE 36 A 45 DIAS</v>
      </c>
      <c r="CJ218" s="59" t="str">
        <f t="shared" ca="1" si="546"/>
        <v>DE 36 A 45 DIAS</v>
      </c>
      <c r="CK218" s="59" t="str">
        <f t="shared" ca="1" si="547"/>
        <v>DE 36 A 45 DIAS</v>
      </c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>
        <f t="shared" si="559"/>
        <v>0</v>
      </c>
      <c r="DH218" s="8">
        <f t="shared" si="560"/>
        <v>0</v>
      </c>
      <c r="DI218" s="8">
        <f t="shared" si="561"/>
        <v>0</v>
      </c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59" t="str">
        <f t="shared" si="562"/>
        <v>NA</v>
      </c>
      <c r="DU218" s="59" t="str">
        <f t="shared" si="563"/>
        <v>NA</v>
      </c>
      <c r="DV218" s="59" t="str">
        <f t="shared" si="564"/>
        <v>NA</v>
      </c>
      <c r="DW218" s="59" t="str">
        <f t="shared" si="565"/>
        <v>NA</v>
      </c>
      <c r="DX218" s="59" t="str">
        <f t="shared" si="566"/>
        <v>NA</v>
      </c>
      <c r="DY218" s="59" t="str">
        <f t="shared" si="567"/>
        <v>NA</v>
      </c>
      <c r="DZ218" s="59" t="str">
        <f t="shared" si="568"/>
        <v>NA</v>
      </c>
      <c r="EA218" s="59" t="str">
        <f t="shared" si="569"/>
        <v>NA</v>
      </c>
      <c r="EB218" s="59" t="str">
        <f t="shared" si="570"/>
        <v>NA</v>
      </c>
      <c r="EC218" s="59" t="str">
        <f t="shared" si="571"/>
        <v>NA</v>
      </c>
      <c r="ED218" s="59" t="str">
        <f t="shared" si="572"/>
        <v/>
      </c>
      <c r="EE218" s="59" t="str">
        <f t="shared" si="573"/>
        <v/>
      </c>
      <c r="EF218" s="59" t="str">
        <f t="shared" si="574"/>
        <v/>
      </c>
      <c r="EG218" s="59" t="str">
        <f t="shared" si="575"/>
        <v/>
      </c>
      <c r="EH218" s="59" t="str">
        <f t="shared" si="576"/>
        <v/>
      </c>
      <c r="EI218" s="59" t="str">
        <f t="shared" si="577"/>
        <v/>
      </c>
      <c r="EJ218" s="59" t="str">
        <f t="shared" si="578"/>
        <v/>
      </c>
      <c r="EK218" s="59" t="str">
        <f t="shared" si="579"/>
        <v/>
      </c>
      <c r="EL218" s="59" t="str">
        <f t="shared" si="580"/>
        <v/>
      </c>
      <c r="EM218" s="59" t="str">
        <f t="shared" si="581"/>
        <v/>
      </c>
      <c r="EN218" s="59" t="str">
        <f t="shared" si="582"/>
        <v/>
      </c>
      <c r="EO218" s="59" t="str">
        <f t="shared" si="583"/>
        <v/>
      </c>
      <c r="EP218" s="59" t="str">
        <f t="shared" si="584"/>
        <v/>
      </c>
      <c r="EQ218" s="59" t="str">
        <f t="shared" si="585"/>
        <v/>
      </c>
      <c r="ER218" s="59" t="str">
        <f t="shared" si="586"/>
        <v/>
      </c>
      <c r="ES218" s="59" t="str">
        <f t="shared" si="587"/>
        <v/>
      </c>
      <c r="ET218" s="59" t="str">
        <f t="shared" si="588"/>
        <v/>
      </c>
      <c r="EU218" s="59" t="str">
        <f t="shared" si="589"/>
        <v/>
      </c>
      <c r="EV218" s="59" t="str">
        <f t="shared" si="590"/>
        <v/>
      </c>
      <c r="EW218" s="59" t="str">
        <f t="shared" si="591"/>
        <v/>
      </c>
      <c r="EX218" s="56">
        <f t="shared" si="548"/>
        <v>1135000</v>
      </c>
    </row>
    <row r="219" spans="1:154" x14ac:dyDescent="0.25">
      <c r="A219" s="2">
        <f t="shared" si="592"/>
        <v>218</v>
      </c>
      <c r="B219" s="2" t="s">
        <v>6</v>
      </c>
      <c r="C219" s="2" t="str">
        <f t="shared" si="549"/>
        <v>030424</v>
      </c>
      <c r="D219" s="2">
        <v>3</v>
      </c>
      <c r="E219" s="2">
        <v>4</v>
      </c>
      <c r="F219" s="2">
        <v>24</v>
      </c>
      <c r="G219" s="11" t="s">
        <v>21</v>
      </c>
      <c r="H219" s="4"/>
      <c r="I219" s="42" t="s">
        <v>58</v>
      </c>
      <c r="J219" s="9">
        <v>109.501</v>
      </c>
      <c r="K219" s="5"/>
      <c r="L219" s="6" t="s">
        <v>306</v>
      </c>
      <c r="M219" s="22" t="s">
        <v>176</v>
      </c>
      <c r="N219" s="7">
        <f t="shared" si="593"/>
        <v>1238103.8</v>
      </c>
      <c r="O219" s="8">
        <v>257</v>
      </c>
      <c r="P219" s="25">
        <v>41182</v>
      </c>
      <c r="Q219" s="8" t="str">
        <f t="shared" si="550"/>
        <v>2DA-SEP</v>
      </c>
      <c r="R219" s="26">
        <v>0.3</v>
      </c>
      <c r="S219" s="41" t="s">
        <v>34</v>
      </c>
      <c r="T219" s="8" t="s">
        <v>352</v>
      </c>
      <c r="U219" s="8"/>
      <c r="V219" s="7">
        <v>619051.9</v>
      </c>
      <c r="W219" s="7">
        <f t="shared" si="634"/>
        <v>390002.69700000004</v>
      </c>
      <c r="X219" s="7">
        <f t="shared" si="551"/>
        <v>229049.20299999998</v>
      </c>
      <c r="Y219" s="7">
        <v>0</v>
      </c>
      <c r="Z219" s="7">
        <f t="shared" si="552"/>
        <v>390002.69700000004</v>
      </c>
      <c r="AA219" s="148" t="str">
        <f t="shared" si="553"/>
        <v>65%</v>
      </c>
      <c r="AB219" s="148">
        <f t="shared" si="554"/>
        <v>0.35</v>
      </c>
      <c r="AC219" s="25">
        <f ca="1">TODAY()-50</f>
        <v>41072</v>
      </c>
      <c r="AD219" s="25">
        <f t="shared" ref="AD219:AE219" ca="1" si="647">TODAY()-50</f>
        <v>41072</v>
      </c>
      <c r="AE219" s="25">
        <f t="shared" ca="1" si="647"/>
        <v>41072</v>
      </c>
      <c r="AF219" s="8"/>
      <c r="AG219" s="59" t="str">
        <f t="shared" ca="1" si="556"/>
        <v>NA</v>
      </c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59" t="str">
        <f t="shared" si="605"/>
        <v>NA</v>
      </c>
      <c r="AS219" s="59" t="str">
        <f t="shared" si="606"/>
        <v/>
      </c>
      <c r="AT219" s="59"/>
      <c r="AU219" s="59" t="str">
        <f t="shared" si="534"/>
        <v>ND</v>
      </c>
      <c r="AV219" s="66"/>
      <c r="AW219" s="66"/>
      <c r="AX219" s="66"/>
      <c r="AY219" s="66"/>
      <c r="AZ219" s="8"/>
      <c r="BA219" s="8" t="s">
        <v>37</v>
      </c>
      <c r="BB219" s="8"/>
      <c r="BC219" s="8"/>
      <c r="BD219" s="8"/>
      <c r="BE219" s="8"/>
      <c r="BF219" s="8"/>
      <c r="BG219" s="8"/>
      <c r="BH219" s="8"/>
      <c r="BI219" s="8"/>
      <c r="BJ219" s="8"/>
      <c r="BK219" s="59"/>
      <c r="BL219" s="59"/>
      <c r="BM219" s="59"/>
      <c r="BN219" s="164">
        <v>0.01</v>
      </c>
      <c r="BO219" s="165">
        <f t="shared" si="557"/>
        <v>4127.0126666666665</v>
      </c>
      <c r="BP219" s="165">
        <f t="shared" ref="BP219:BQ219" si="648">BO219</f>
        <v>4127.0126666666665</v>
      </c>
      <c r="BQ219" s="165">
        <f t="shared" si="648"/>
        <v>4127.0126666666665</v>
      </c>
      <c r="BR219" s="59"/>
      <c r="BS219" s="59"/>
      <c r="BT219" s="59"/>
      <c r="BU219" s="59"/>
      <c r="BV219" s="59" t="str">
        <f t="shared" si="598"/>
        <v>ND</v>
      </c>
      <c r="BW219" s="59" t="str">
        <f t="shared" si="599"/>
        <v>ND</v>
      </c>
      <c r="BX219" s="59" t="str">
        <f t="shared" si="600"/>
        <v>ND</v>
      </c>
      <c r="BY219" s="59" t="str">
        <f t="shared" si="601"/>
        <v>ND</v>
      </c>
      <c r="BZ219" s="59" t="str">
        <f t="shared" si="536"/>
        <v>NA</v>
      </c>
      <c r="CA219" s="59" t="str">
        <f t="shared" si="537"/>
        <v/>
      </c>
      <c r="CB219" s="59" t="str">
        <f t="shared" si="538"/>
        <v>NA</v>
      </c>
      <c r="CC219" s="59" t="str">
        <f t="shared" si="539"/>
        <v/>
      </c>
      <c r="CD219" s="59" t="str">
        <f t="shared" si="540"/>
        <v>NA</v>
      </c>
      <c r="CE219" s="59" t="str">
        <f t="shared" si="541"/>
        <v/>
      </c>
      <c r="CF219" s="59" t="str">
        <f t="shared" si="542"/>
        <v>NA</v>
      </c>
      <c r="CG219" s="59" t="str">
        <f t="shared" ca="1" si="543"/>
        <v>NA</v>
      </c>
      <c r="CH219" s="59" t="str">
        <f t="shared" ca="1" si="544"/>
        <v>NA</v>
      </c>
      <c r="CI219" s="59" t="str">
        <f t="shared" ca="1" si="545"/>
        <v>MAYOR A 45 DIAS</v>
      </c>
      <c r="CJ219" s="59" t="str">
        <f t="shared" ca="1" si="546"/>
        <v>MAYOR A 45 DIAS</v>
      </c>
      <c r="CK219" s="59" t="str">
        <f t="shared" ca="1" si="547"/>
        <v>MAYOR A 45 DIAS</v>
      </c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>
        <f t="shared" si="559"/>
        <v>0</v>
      </c>
      <c r="DH219" s="8">
        <f t="shared" si="560"/>
        <v>0</v>
      </c>
      <c r="DI219" s="8">
        <f t="shared" si="561"/>
        <v>0</v>
      </c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59" t="str">
        <f t="shared" si="562"/>
        <v>NA</v>
      </c>
      <c r="DU219" s="59" t="str">
        <f t="shared" si="563"/>
        <v>NA</v>
      </c>
      <c r="DV219" s="59" t="str">
        <f t="shared" si="564"/>
        <v>NA</v>
      </c>
      <c r="DW219" s="59" t="str">
        <f t="shared" si="565"/>
        <v>NA</v>
      </c>
      <c r="DX219" s="59" t="str">
        <f t="shared" si="566"/>
        <v>NA</v>
      </c>
      <c r="DY219" s="59" t="str">
        <f t="shared" si="567"/>
        <v>NA</v>
      </c>
      <c r="DZ219" s="59" t="str">
        <f t="shared" si="568"/>
        <v>NA</v>
      </c>
      <c r="EA219" s="59" t="str">
        <f t="shared" si="569"/>
        <v>NA</v>
      </c>
      <c r="EB219" s="59" t="str">
        <f t="shared" si="570"/>
        <v>NA</v>
      </c>
      <c r="EC219" s="59" t="str">
        <f t="shared" si="571"/>
        <v>NA</v>
      </c>
      <c r="ED219" s="59" t="str">
        <f t="shared" si="572"/>
        <v/>
      </c>
      <c r="EE219" s="59" t="str">
        <f t="shared" si="573"/>
        <v/>
      </c>
      <c r="EF219" s="59" t="str">
        <f t="shared" si="574"/>
        <v/>
      </c>
      <c r="EG219" s="59" t="str">
        <f t="shared" si="575"/>
        <v/>
      </c>
      <c r="EH219" s="59" t="str">
        <f t="shared" si="576"/>
        <v/>
      </c>
      <c r="EI219" s="59" t="str">
        <f t="shared" si="577"/>
        <v/>
      </c>
      <c r="EJ219" s="59" t="str">
        <f t="shared" si="578"/>
        <v/>
      </c>
      <c r="EK219" s="59" t="str">
        <f t="shared" si="579"/>
        <v/>
      </c>
      <c r="EL219" s="59" t="str">
        <f t="shared" si="580"/>
        <v/>
      </c>
      <c r="EM219" s="59" t="str">
        <f t="shared" si="581"/>
        <v/>
      </c>
      <c r="EN219" s="59" t="str">
        <f t="shared" si="582"/>
        <v/>
      </c>
      <c r="EO219" s="59" t="str">
        <f t="shared" si="583"/>
        <v/>
      </c>
      <c r="EP219" s="59" t="str">
        <f t="shared" si="584"/>
        <v/>
      </c>
      <c r="EQ219" s="59" t="str">
        <f t="shared" si="585"/>
        <v/>
      </c>
      <c r="ER219" s="59" t="str">
        <f t="shared" si="586"/>
        <v/>
      </c>
      <c r="ES219" s="59" t="str">
        <f t="shared" si="587"/>
        <v/>
      </c>
      <c r="ET219" s="59" t="str">
        <f t="shared" si="588"/>
        <v/>
      </c>
      <c r="EU219" s="59" t="str">
        <f t="shared" si="589"/>
        <v/>
      </c>
      <c r="EV219" s="59" t="str">
        <f t="shared" si="590"/>
        <v/>
      </c>
      <c r="EW219" s="59" t="str">
        <f t="shared" si="591"/>
        <v/>
      </c>
      <c r="EX219" s="56">
        <f t="shared" si="548"/>
        <v>1238103.8</v>
      </c>
    </row>
    <row r="220" spans="1:154" x14ac:dyDescent="0.25">
      <c r="A220" s="2">
        <f t="shared" si="592"/>
        <v>219</v>
      </c>
      <c r="B220" s="2" t="s">
        <v>6</v>
      </c>
      <c r="C220" s="2" t="str">
        <f t="shared" si="549"/>
        <v>040101</v>
      </c>
      <c r="D220" s="2">
        <v>4</v>
      </c>
      <c r="E220" s="2">
        <v>1</v>
      </c>
      <c r="F220" s="2">
        <v>1</v>
      </c>
      <c r="G220" s="11" t="s">
        <v>22</v>
      </c>
      <c r="H220" s="4"/>
      <c r="I220" s="42" t="s">
        <v>58</v>
      </c>
      <c r="J220" s="9">
        <v>138.72200000000001</v>
      </c>
      <c r="K220" s="9"/>
      <c r="L220" s="10" t="s">
        <v>8</v>
      </c>
      <c r="M220" s="23" t="s">
        <v>177</v>
      </c>
      <c r="N220" s="7">
        <f t="shared" si="593"/>
        <v>1358143.6</v>
      </c>
      <c r="O220" s="8">
        <v>258</v>
      </c>
      <c r="P220" s="25">
        <v>41212</v>
      </c>
      <c r="Q220" s="8" t="str">
        <f t="shared" si="550"/>
        <v>2DA-OCT</v>
      </c>
      <c r="R220" s="26">
        <v>0.1</v>
      </c>
      <c r="S220" s="41" t="s">
        <v>34</v>
      </c>
      <c r="T220" s="8" t="s">
        <v>353</v>
      </c>
      <c r="U220" s="8"/>
      <c r="V220" s="7">
        <v>679071.8</v>
      </c>
      <c r="W220" s="7">
        <f t="shared" si="634"/>
        <v>427815.23400000005</v>
      </c>
      <c r="X220" s="7">
        <f t="shared" si="551"/>
        <v>251256.56599999999</v>
      </c>
      <c r="Y220" s="7">
        <v>0</v>
      </c>
      <c r="Z220" s="7">
        <f t="shared" si="552"/>
        <v>427815.23400000005</v>
      </c>
      <c r="AA220" s="148" t="str">
        <f t="shared" si="553"/>
        <v>65%</v>
      </c>
      <c r="AB220" s="148">
        <f t="shared" si="554"/>
        <v>0.35</v>
      </c>
      <c r="AC220" s="25">
        <f ca="1">TODAY()-4</f>
        <v>41118</v>
      </c>
      <c r="AD220" s="25">
        <f t="shared" ref="AD220:AE220" ca="1" si="649">TODAY()-4</f>
        <v>41118</v>
      </c>
      <c r="AE220" s="25">
        <f t="shared" ca="1" si="649"/>
        <v>41118</v>
      </c>
      <c r="AF220" s="8"/>
      <c r="AG220" s="59" t="str">
        <f t="shared" ca="1" si="556"/>
        <v>NA</v>
      </c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59" t="str">
        <f t="shared" si="605"/>
        <v>NA</v>
      </c>
      <c r="AS220" s="59" t="str">
        <f t="shared" si="606"/>
        <v/>
      </c>
      <c r="AT220" s="59"/>
      <c r="AU220" s="59" t="str">
        <f t="shared" si="534"/>
        <v>ND</v>
      </c>
      <c r="AV220" s="66"/>
      <c r="AW220" s="66"/>
      <c r="AX220" s="66"/>
      <c r="AY220" s="66"/>
      <c r="AZ220" s="8"/>
      <c r="BA220" s="8" t="s">
        <v>37</v>
      </c>
      <c r="BB220" s="8"/>
      <c r="BC220" s="8"/>
      <c r="BD220" s="8"/>
      <c r="BE220" s="8"/>
      <c r="BF220" s="8"/>
      <c r="BG220" s="8"/>
      <c r="BH220" s="8"/>
      <c r="BI220" s="8"/>
      <c r="BJ220" s="8"/>
      <c r="BK220" s="59"/>
      <c r="BL220" s="59"/>
      <c r="BM220" s="59"/>
      <c r="BN220" s="164">
        <v>0.01</v>
      </c>
      <c r="BO220" s="165">
        <f t="shared" si="557"/>
        <v>4527.1453333333338</v>
      </c>
      <c r="BP220" s="165">
        <f t="shared" ref="BP220:BQ220" si="650">BO220</f>
        <v>4527.1453333333338</v>
      </c>
      <c r="BQ220" s="165">
        <f t="shared" si="650"/>
        <v>4527.1453333333338</v>
      </c>
      <c r="BR220" s="59"/>
      <c r="BS220" s="59"/>
      <c r="BT220" s="59"/>
      <c r="BU220" s="59"/>
      <c r="BV220" s="59" t="str">
        <f t="shared" si="598"/>
        <v>ND</v>
      </c>
      <c r="BW220" s="59" t="str">
        <f t="shared" si="599"/>
        <v>ND</v>
      </c>
      <c r="BX220" s="59" t="str">
        <f t="shared" si="600"/>
        <v>ND</v>
      </c>
      <c r="BY220" s="59" t="str">
        <f t="shared" si="601"/>
        <v>ND</v>
      </c>
      <c r="BZ220" s="59" t="str">
        <f t="shared" si="536"/>
        <v>NA</v>
      </c>
      <c r="CA220" s="59" t="str">
        <f t="shared" si="537"/>
        <v/>
      </c>
      <c r="CB220" s="59" t="str">
        <f t="shared" si="538"/>
        <v>NA</v>
      </c>
      <c r="CC220" s="59" t="str">
        <f t="shared" si="539"/>
        <v/>
      </c>
      <c r="CD220" s="59" t="str">
        <f t="shared" si="540"/>
        <v>NA</v>
      </c>
      <c r="CE220" s="59" t="str">
        <f t="shared" si="541"/>
        <v/>
      </c>
      <c r="CF220" s="59" t="str">
        <f t="shared" si="542"/>
        <v>NA</v>
      </c>
      <c r="CG220" s="59" t="str">
        <f t="shared" ca="1" si="543"/>
        <v>NA</v>
      </c>
      <c r="CH220" s="59" t="str">
        <f t="shared" ca="1" si="544"/>
        <v>NA</v>
      </c>
      <c r="CI220" s="59" t="str">
        <f t="shared" ca="1" si="545"/>
        <v>HASTA 5 DIAS</v>
      </c>
      <c r="CJ220" s="59" t="str">
        <f t="shared" ca="1" si="546"/>
        <v>HASTA 5 DIAS</v>
      </c>
      <c r="CK220" s="59" t="str">
        <f t="shared" ca="1" si="547"/>
        <v>HASTA 5 DIAS</v>
      </c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>
        <f t="shared" si="559"/>
        <v>0</v>
      </c>
      <c r="DH220" s="8">
        <f t="shared" si="560"/>
        <v>0</v>
      </c>
      <c r="DI220" s="8">
        <f t="shared" si="561"/>
        <v>0</v>
      </c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59" t="str">
        <f t="shared" si="562"/>
        <v>NA</v>
      </c>
      <c r="DU220" s="59" t="str">
        <f t="shared" si="563"/>
        <v>NA</v>
      </c>
      <c r="DV220" s="59" t="str">
        <f t="shared" si="564"/>
        <v>NA</v>
      </c>
      <c r="DW220" s="59" t="str">
        <f t="shared" si="565"/>
        <v>NA</v>
      </c>
      <c r="DX220" s="59" t="str">
        <f t="shared" si="566"/>
        <v>NA</v>
      </c>
      <c r="DY220" s="59" t="str">
        <f t="shared" si="567"/>
        <v>NA</v>
      </c>
      <c r="DZ220" s="59" t="str">
        <f t="shared" si="568"/>
        <v>NA</v>
      </c>
      <c r="EA220" s="59" t="str">
        <f t="shared" si="569"/>
        <v>NA</v>
      </c>
      <c r="EB220" s="59" t="str">
        <f t="shared" si="570"/>
        <v>NA</v>
      </c>
      <c r="EC220" s="59" t="str">
        <f t="shared" si="571"/>
        <v>NA</v>
      </c>
      <c r="ED220" s="59" t="str">
        <f t="shared" si="572"/>
        <v/>
      </c>
      <c r="EE220" s="59" t="str">
        <f t="shared" si="573"/>
        <v/>
      </c>
      <c r="EF220" s="59" t="str">
        <f t="shared" si="574"/>
        <v/>
      </c>
      <c r="EG220" s="59" t="str">
        <f t="shared" si="575"/>
        <v/>
      </c>
      <c r="EH220" s="59" t="str">
        <f t="shared" si="576"/>
        <v/>
      </c>
      <c r="EI220" s="59" t="str">
        <f t="shared" si="577"/>
        <v/>
      </c>
      <c r="EJ220" s="59" t="str">
        <f t="shared" si="578"/>
        <v/>
      </c>
      <c r="EK220" s="59" t="str">
        <f t="shared" si="579"/>
        <v/>
      </c>
      <c r="EL220" s="59" t="str">
        <f t="shared" si="580"/>
        <v/>
      </c>
      <c r="EM220" s="59" t="str">
        <f t="shared" si="581"/>
        <v/>
      </c>
      <c r="EN220" s="59" t="str">
        <f t="shared" si="582"/>
        <v/>
      </c>
      <c r="EO220" s="59" t="str">
        <f t="shared" si="583"/>
        <v/>
      </c>
      <c r="EP220" s="59" t="str">
        <f t="shared" si="584"/>
        <v/>
      </c>
      <c r="EQ220" s="59" t="str">
        <f t="shared" si="585"/>
        <v/>
      </c>
      <c r="ER220" s="59" t="str">
        <f t="shared" si="586"/>
        <v/>
      </c>
      <c r="ES220" s="59" t="str">
        <f t="shared" si="587"/>
        <v/>
      </c>
      <c r="ET220" s="59" t="str">
        <f t="shared" si="588"/>
        <v/>
      </c>
      <c r="EU220" s="59" t="str">
        <f t="shared" si="589"/>
        <v/>
      </c>
      <c r="EV220" s="59" t="str">
        <f t="shared" si="590"/>
        <v/>
      </c>
      <c r="EW220" s="59" t="str">
        <f t="shared" si="591"/>
        <v/>
      </c>
      <c r="EX220" s="56">
        <f t="shared" si="548"/>
        <v>1358143.6</v>
      </c>
    </row>
    <row r="221" spans="1:154" x14ac:dyDescent="0.25">
      <c r="A221" s="2">
        <f t="shared" si="592"/>
        <v>220</v>
      </c>
      <c r="B221" s="2" t="s">
        <v>6</v>
      </c>
      <c r="C221" s="2" t="str">
        <f t="shared" si="549"/>
        <v>040102</v>
      </c>
      <c r="D221" s="2">
        <v>4</v>
      </c>
      <c r="E221" s="2">
        <v>1</v>
      </c>
      <c r="F221" s="2">
        <v>2</v>
      </c>
      <c r="G221" s="11" t="s">
        <v>23</v>
      </c>
      <c r="H221" s="4"/>
      <c r="I221" s="42" t="s">
        <v>58</v>
      </c>
      <c r="J221" s="9">
        <v>130.87899999999999</v>
      </c>
      <c r="K221" s="9"/>
      <c r="L221" s="10" t="s">
        <v>8</v>
      </c>
      <c r="M221" s="23" t="s">
        <v>177</v>
      </c>
      <c r="N221" s="7">
        <f t="shared" si="593"/>
        <v>1328340.2</v>
      </c>
      <c r="O221" s="8">
        <v>259</v>
      </c>
      <c r="P221" s="25">
        <v>41212</v>
      </c>
      <c r="Q221" s="8" t="str">
        <f t="shared" si="550"/>
        <v>2DA-OCT</v>
      </c>
      <c r="R221" s="26">
        <v>0.1</v>
      </c>
      <c r="S221" s="41" t="s">
        <v>34</v>
      </c>
      <c r="T221" s="8" t="s">
        <v>353</v>
      </c>
      <c r="U221" s="8"/>
      <c r="V221" s="7">
        <v>664170.1</v>
      </c>
      <c r="W221" s="7">
        <f t="shared" si="634"/>
        <v>418427.163</v>
      </c>
      <c r="X221" s="7">
        <f t="shared" si="551"/>
        <v>245742.93699999998</v>
      </c>
      <c r="Y221" s="7">
        <v>0</v>
      </c>
      <c r="Z221" s="7">
        <f t="shared" si="552"/>
        <v>418427.163</v>
      </c>
      <c r="AA221" s="148" t="str">
        <f t="shared" si="553"/>
        <v>65%</v>
      </c>
      <c r="AB221" s="148">
        <f t="shared" si="554"/>
        <v>0.35</v>
      </c>
      <c r="AC221" s="25">
        <f ca="1">TODAY()-9</f>
        <v>41113</v>
      </c>
      <c r="AD221" s="25">
        <f t="shared" ref="AD221:AE221" ca="1" si="651">TODAY()-9</f>
        <v>41113</v>
      </c>
      <c r="AE221" s="25">
        <f t="shared" ca="1" si="651"/>
        <v>41113</v>
      </c>
      <c r="AF221" s="8"/>
      <c r="AG221" s="59" t="str">
        <f t="shared" ca="1" si="556"/>
        <v>NA</v>
      </c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59" t="str">
        <f t="shared" si="605"/>
        <v>NA</v>
      </c>
      <c r="AS221" s="59" t="str">
        <f t="shared" si="606"/>
        <v/>
      </c>
      <c r="AT221" s="59"/>
      <c r="AU221" s="59" t="str">
        <f t="shared" si="534"/>
        <v>ND</v>
      </c>
      <c r="AV221" s="66"/>
      <c r="AW221" s="66"/>
      <c r="AX221" s="66"/>
      <c r="AY221" s="66"/>
      <c r="AZ221" s="8"/>
      <c r="BA221" s="8" t="s">
        <v>37</v>
      </c>
      <c r="BB221" s="8"/>
      <c r="BC221" s="8"/>
      <c r="BD221" s="8"/>
      <c r="BE221" s="8"/>
      <c r="BF221" s="8"/>
      <c r="BG221" s="8"/>
      <c r="BH221" s="8"/>
      <c r="BI221" s="8"/>
      <c r="BJ221" s="8"/>
      <c r="BK221" s="59"/>
      <c r="BL221" s="59"/>
      <c r="BM221" s="59"/>
      <c r="BN221" s="164">
        <v>0.01</v>
      </c>
      <c r="BO221" s="165">
        <f t="shared" si="557"/>
        <v>4427.800666666667</v>
      </c>
      <c r="BP221" s="165">
        <f t="shared" ref="BP221:BQ221" si="652">BO221</f>
        <v>4427.800666666667</v>
      </c>
      <c r="BQ221" s="165">
        <f t="shared" si="652"/>
        <v>4427.800666666667</v>
      </c>
      <c r="BR221" s="59"/>
      <c r="BS221" s="59"/>
      <c r="BT221" s="59"/>
      <c r="BU221" s="59"/>
      <c r="BV221" s="59" t="str">
        <f t="shared" si="598"/>
        <v>ND</v>
      </c>
      <c r="BW221" s="59" t="str">
        <f t="shared" si="599"/>
        <v>ND</v>
      </c>
      <c r="BX221" s="59" t="str">
        <f t="shared" si="600"/>
        <v>ND</v>
      </c>
      <c r="BY221" s="59" t="str">
        <f t="shared" si="601"/>
        <v>ND</v>
      </c>
      <c r="BZ221" s="59" t="str">
        <f t="shared" si="536"/>
        <v>NA</v>
      </c>
      <c r="CA221" s="59" t="str">
        <f t="shared" si="537"/>
        <v/>
      </c>
      <c r="CB221" s="59" t="str">
        <f t="shared" si="538"/>
        <v>NA</v>
      </c>
      <c r="CC221" s="59" t="str">
        <f t="shared" si="539"/>
        <v/>
      </c>
      <c r="CD221" s="59" t="str">
        <f t="shared" si="540"/>
        <v>NA</v>
      </c>
      <c r="CE221" s="59" t="str">
        <f t="shared" si="541"/>
        <v/>
      </c>
      <c r="CF221" s="59" t="str">
        <f t="shared" si="542"/>
        <v>NA</v>
      </c>
      <c r="CG221" s="59" t="str">
        <f t="shared" ca="1" si="543"/>
        <v>NA</v>
      </c>
      <c r="CH221" s="59" t="str">
        <f t="shared" ca="1" si="544"/>
        <v>NA</v>
      </c>
      <c r="CI221" s="59" t="str">
        <f t="shared" ca="1" si="545"/>
        <v>DE 6 A 10 DIAS</v>
      </c>
      <c r="CJ221" s="59" t="str">
        <f t="shared" ca="1" si="546"/>
        <v>DE 6 A 10 DIAS</v>
      </c>
      <c r="CK221" s="59" t="str">
        <f t="shared" ca="1" si="547"/>
        <v>DE 6 A 10 DIAS</v>
      </c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>
        <f t="shared" si="559"/>
        <v>0</v>
      </c>
      <c r="DH221" s="8">
        <f t="shared" si="560"/>
        <v>0</v>
      </c>
      <c r="DI221" s="8">
        <f t="shared" si="561"/>
        <v>0</v>
      </c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59" t="str">
        <f t="shared" si="562"/>
        <v>NA</v>
      </c>
      <c r="DU221" s="59" t="str">
        <f t="shared" si="563"/>
        <v>NA</v>
      </c>
      <c r="DV221" s="59" t="str">
        <f t="shared" si="564"/>
        <v>NA</v>
      </c>
      <c r="DW221" s="59" t="str">
        <f t="shared" si="565"/>
        <v>NA</v>
      </c>
      <c r="DX221" s="59" t="str">
        <f t="shared" si="566"/>
        <v>NA</v>
      </c>
      <c r="DY221" s="59" t="str">
        <f t="shared" si="567"/>
        <v>NA</v>
      </c>
      <c r="DZ221" s="59" t="str">
        <f t="shared" si="568"/>
        <v>NA</v>
      </c>
      <c r="EA221" s="59" t="str">
        <f t="shared" si="569"/>
        <v>NA</v>
      </c>
      <c r="EB221" s="59" t="str">
        <f t="shared" si="570"/>
        <v>NA</v>
      </c>
      <c r="EC221" s="59" t="str">
        <f t="shared" si="571"/>
        <v>NA</v>
      </c>
      <c r="ED221" s="59" t="str">
        <f t="shared" si="572"/>
        <v/>
      </c>
      <c r="EE221" s="59" t="str">
        <f t="shared" si="573"/>
        <v/>
      </c>
      <c r="EF221" s="59" t="str">
        <f t="shared" si="574"/>
        <v/>
      </c>
      <c r="EG221" s="59" t="str">
        <f t="shared" si="575"/>
        <v/>
      </c>
      <c r="EH221" s="59" t="str">
        <f t="shared" si="576"/>
        <v/>
      </c>
      <c r="EI221" s="59" t="str">
        <f t="shared" si="577"/>
        <v/>
      </c>
      <c r="EJ221" s="59" t="str">
        <f t="shared" si="578"/>
        <v/>
      </c>
      <c r="EK221" s="59" t="str">
        <f t="shared" si="579"/>
        <v/>
      </c>
      <c r="EL221" s="59" t="str">
        <f t="shared" si="580"/>
        <v/>
      </c>
      <c r="EM221" s="59" t="str">
        <f t="shared" si="581"/>
        <v/>
      </c>
      <c r="EN221" s="59" t="str">
        <f t="shared" si="582"/>
        <v/>
      </c>
      <c r="EO221" s="59" t="str">
        <f t="shared" si="583"/>
        <v/>
      </c>
      <c r="EP221" s="59" t="str">
        <f t="shared" si="584"/>
        <v/>
      </c>
      <c r="EQ221" s="59" t="str">
        <f t="shared" si="585"/>
        <v/>
      </c>
      <c r="ER221" s="59" t="str">
        <f t="shared" si="586"/>
        <v/>
      </c>
      <c r="ES221" s="59" t="str">
        <f t="shared" si="587"/>
        <v/>
      </c>
      <c r="ET221" s="59" t="str">
        <f t="shared" si="588"/>
        <v/>
      </c>
      <c r="EU221" s="59" t="str">
        <f t="shared" si="589"/>
        <v/>
      </c>
      <c r="EV221" s="59" t="str">
        <f t="shared" si="590"/>
        <v/>
      </c>
      <c r="EW221" s="59" t="str">
        <f t="shared" si="591"/>
        <v/>
      </c>
      <c r="EX221" s="56">
        <f t="shared" si="548"/>
        <v>1328340.2</v>
      </c>
    </row>
    <row r="222" spans="1:154" x14ac:dyDescent="0.25">
      <c r="A222" s="2">
        <f t="shared" si="592"/>
        <v>221</v>
      </c>
      <c r="B222" s="2" t="s">
        <v>6</v>
      </c>
      <c r="C222" s="2" t="str">
        <f t="shared" si="549"/>
        <v>050101</v>
      </c>
      <c r="D222" s="2">
        <v>5</v>
      </c>
      <c r="E222" s="2">
        <v>1</v>
      </c>
      <c r="F222" s="2">
        <v>1</v>
      </c>
      <c r="G222" s="11" t="s">
        <v>7</v>
      </c>
      <c r="H222" s="4"/>
      <c r="I222" s="42" t="s">
        <v>58</v>
      </c>
      <c r="J222" s="9">
        <v>80.302999999999997</v>
      </c>
      <c r="K222" s="9"/>
      <c r="L222" s="10" t="s">
        <v>8</v>
      </c>
      <c r="M222" s="24" t="s">
        <v>178</v>
      </c>
      <c r="N222" s="7">
        <f t="shared" si="593"/>
        <v>1136151.3999999999</v>
      </c>
      <c r="O222" s="8">
        <v>260</v>
      </c>
      <c r="P222" s="25">
        <v>41258</v>
      </c>
      <c r="Q222" s="8" t="str">
        <f t="shared" si="550"/>
        <v>2DA-DIC</v>
      </c>
      <c r="R222" s="26">
        <v>0</v>
      </c>
      <c r="S222" s="41" t="s">
        <v>34</v>
      </c>
      <c r="T222" s="8" t="s">
        <v>353</v>
      </c>
      <c r="U222" s="8"/>
      <c r="V222" s="7">
        <v>568075.69999999995</v>
      </c>
      <c r="W222" s="7">
        <f t="shared" si="634"/>
        <v>357887.69099999999</v>
      </c>
      <c r="X222" s="7">
        <f t="shared" si="551"/>
        <v>210188.00899999996</v>
      </c>
      <c r="Y222" s="7">
        <v>0</v>
      </c>
      <c r="Z222" s="7">
        <f t="shared" si="552"/>
        <v>357887.69099999999</v>
      </c>
      <c r="AA222" s="148" t="str">
        <f t="shared" si="553"/>
        <v>65%</v>
      </c>
      <c r="AB222" s="148">
        <f t="shared" si="554"/>
        <v>0.35</v>
      </c>
      <c r="AC222" s="25">
        <f ca="1">TODAY()-14</f>
        <v>41108</v>
      </c>
      <c r="AD222" s="25">
        <f t="shared" ref="AD222:AE222" ca="1" si="653">TODAY()-14</f>
        <v>41108</v>
      </c>
      <c r="AE222" s="25">
        <f t="shared" ca="1" si="653"/>
        <v>41108</v>
      </c>
      <c r="AF222" s="8"/>
      <c r="AG222" s="59" t="str">
        <f t="shared" ca="1" si="556"/>
        <v>NA</v>
      </c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59" t="str">
        <f t="shared" si="605"/>
        <v>NA</v>
      </c>
      <c r="AS222" s="59" t="str">
        <f t="shared" si="606"/>
        <v/>
      </c>
      <c r="AT222" s="59"/>
      <c r="AU222" s="59" t="str">
        <f t="shared" si="534"/>
        <v>ND</v>
      </c>
      <c r="AV222" s="66"/>
      <c r="AW222" s="66"/>
      <c r="AX222" s="66"/>
      <c r="AY222" s="66"/>
      <c r="AZ222" s="8"/>
      <c r="BA222" s="8" t="s">
        <v>37</v>
      </c>
      <c r="BB222" s="8"/>
      <c r="BC222" s="8"/>
      <c r="BD222" s="8"/>
      <c r="BE222" s="8"/>
      <c r="BF222" s="8"/>
      <c r="BG222" s="8"/>
      <c r="BH222" s="8"/>
      <c r="BI222" s="8"/>
      <c r="BJ222" s="8"/>
      <c r="BK222" s="59"/>
      <c r="BL222" s="59"/>
      <c r="BM222" s="59"/>
      <c r="BN222" s="164">
        <v>0.01</v>
      </c>
      <c r="BO222" s="165">
        <f t="shared" si="557"/>
        <v>3787.1713333333332</v>
      </c>
      <c r="BP222" s="165">
        <f t="shared" ref="BP222:BQ222" si="654">BO222</f>
        <v>3787.1713333333332</v>
      </c>
      <c r="BQ222" s="165">
        <f t="shared" si="654"/>
        <v>3787.1713333333332</v>
      </c>
      <c r="BR222" s="59"/>
      <c r="BS222" s="59"/>
      <c r="BT222" s="59"/>
      <c r="BU222" s="59"/>
      <c r="BV222" s="59" t="str">
        <f t="shared" si="598"/>
        <v>ND</v>
      </c>
      <c r="BW222" s="59" t="str">
        <f t="shared" si="599"/>
        <v>ND</v>
      </c>
      <c r="BX222" s="59" t="str">
        <f t="shared" si="600"/>
        <v>ND</v>
      </c>
      <c r="BY222" s="59" t="str">
        <f t="shared" si="601"/>
        <v>ND</v>
      </c>
      <c r="BZ222" s="59" t="str">
        <f t="shared" si="536"/>
        <v>NA</v>
      </c>
      <c r="CA222" s="59" t="str">
        <f t="shared" si="537"/>
        <v/>
      </c>
      <c r="CB222" s="59" t="str">
        <f t="shared" si="538"/>
        <v>NA</v>
      </c>
      <c r="CC222" s="59" t="str">
        <f t="shared" si="539"/>
        <v/>
      </c>
      <c r="CD222" s="59" t="str">
        <f t="shared" si="540"/>
        <v>NA</v>
      </c>
      <c r="CE222" s="59" t="str">
        <f t="shared" si="541"/>
        <v/>
      </c>
      <c r="CF222" s="59" t="str">
        <f t="shared" si="542"/>
        <v>NA</v>
      </c>
      <c r="CG222" s="59" t="str">
        <f t="shared" ca="1" si="543"/>
        <v>NA</v>
      </c>
      <c r="CH222" s="59" t="str">
        <f t="shared" ca="1" si="544"/>
        <v>NA</v>
      </c>
      <c r="CI222" s="59" t="str">
        <f t="shared" ca="1" si="545"/>
        <v>DE 11 A 15 DIAS</v>
      </c>
      <c r="CJ222" s="59" t="str">
        <f t="shared" ca="1" si="546"/>
        <v>DE 11 A 15 DIAS</v>
      </c>
      <c r="CK222" s="59" t="str">
        <f t="shared" ca="1" si="547"/>
        <v>DE 11 A 15 DIAS</v>
      </c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>
        <f t="shared" si="559"/>
        <v>0</v>
      </c>
      <c r="DH222" s="8">
        <f t="shared" si="560"/>
        <v>0</v>
      </c>
      <c r="DI222" s="8">
        <f t="shared" si="561"/>
        <v>0</v>
      </c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59" t="str">
        <f t="shared" si="562"/>
        <v>NA</v>
      </c>
      <c r="DU222" s="59" t="str">
        <f t="shared" si="563"/>
        <v>NA</v>
      </c>
      <c r="DV222" s="59" t="str">
        <f t="shared" si="564"/>
        <v>NA</v>
      </c>
      <c r="DW222" s="59" t="str">
        <f t="shared" si="565"/>
        <v>NA</v>
      </c>
      <c r="DX222" s="59" t="str">
        <f t="shared" si="566"/>
        <v>NA</v>
      </c>
      <c r="DY222" s="59" t="str">
        <f t="shared" si="567"/>
        <v>NA</v>
      </c>
      <c r="DZ222" s="59" t="str">
        <f t="shared" si="568"/>
        <v>NA</v>
      </c>
      <c r="EA222" s="59" t="str">
        <f t="shared" si="569"/>
        <v>NA</v>
      </c>
      <c r="EB222" s="59" t="str">
        <f t="shared" si="570"/>
        <v>NA</v>
      </c>
      <c r="EC222" s="59" t="str">
        <f t="shared" si="571"/>
        <v>NA</v>
      </c>
      <c r="ED222" s="59" t="str">
        <f t="shared" si="572"/>
        <v/>
      </c>
      <c r="EE222" s="59" t="str">
        <f t="shared" si="573"/>
        <v/>
      </c>
      <c r="EF222" s="59" t="str">
        <f t="shared" si="574"/>
        <v/>
      </c>
      <c r="EG222" s="59" t="str">
        <f t="shared" si="575"/>
        <v/>
      </c>
      <c r="EH222" s="59" t="str">
        <f t="shared" si="576"/>
        <v/>
      </c>
      <c r="EI222" s="59" t="str">
        <f t="shared" si="577"/>
        <v/>
      </c>
      <c r="EJ222" s="59" t="str">
        <f t="shared" si="578"/>
        <v/>
      </c>
      <c r="EK222" s="59" t="str">
        <f t="shared" si="579"/>
        <v/>
      </c>
      <c r="EL222" s="59" t="str">
        <f t="shared" si="580"/>
        <v/>
      </c>
      <c r="EM222" s="59" t="str">
        <f t="shared" si="581"/>
        <v/>
      </c>
      <c r="EN222" s="59" t="str">
        <f t="shared" si="582"/>
        <v/>
      </c>
      <c r="EO222" s="59" t="str">
        <f t="shared" si="583"/>
        <v/>
      </c>
      <c r="EP222" s="59" t="str">
        <f t="shared" si="584"/>
        <v/>
      </c>
      <c r="EQ222" s="59" t="str">
        <f t="shared" si="585"/>
        <v/>
      </c>
      <c r="ER222" s="59" t="str">
        <f t="shared" si="586"/>
        <v/>
      </c>
      <c r="ES222" s="59" t="str">
        <f t="shared" si="587"/>
        <v/>
      </c>
      <c r="ET222" s="59" t="str">
        <f t="shared" si="588"/>
        <v/>
      </c>
      <c r="EU222" s="59" t="str">
        <f t="shared" si="589"/>
        <v/>
      </c>
      <c r="EV222" s="59" t="str">
        <f t="shared" si="590"/>
        <v/>
      </c>
      <c r="EW222" s="59" t="str">
        <f t="shared" si="591"/>
        <v/>
      </c>
      <c r="EX222" s="56">
        <f t="shared" si="548"/>
        <v>1136151.3999999999</v>
      </c>
    </row>
    <row r="223" spans="1:154" x14ac:dyDescent="0.25">
      <c r="A223" s="2">
        <f t="shared" si="592"/>
        <v>222</v>
      </c>
      <c r="B223" s="2" t="s">
        <v>6</v>
      </c>
      <c r="C223" s="2" t="str">
        <f t="shared" si="549"/>
        <v>060101</v>
      </c>
      <c r="D223" s="2">
        <v>6</v>
      </c>
      <c r="E223" s="2">
        <v>1</v>
      </c>
      <c r="F223" s="2">
        <v>1</v>
      </c>
      <c r="G223" s="11" t="s">
        <v>11</v>
      </c>
      <c r="H223" s="4"/>
      <c r="I223" s="42" t="s">
        <v>58</v>
      </c>
      <c r="J223" s="9">
        <v>102.812</v>
      </c>
      <c r="K223" s="9"/>
      <c r="L223" s="10" t="s">
        <v>8</v>
      </c>
      <c r="M223" s="24" t="s">
        <v>178</v>
      </c>
      <c r="N223" s="7">
        <f t="shared" si="593"/>
        <v>1221685.6000000001</v>
      </c>
      <c r="O223" s="8">
        <v>261</v>
      </c>
      <c r="P223" s="25">
        <v>41258</v>
      </c>
      <c r="Q223" s="8" t="str">
        <f t="shared" si="550"/>
        <v>2DA-DIC</v>
      </c>
      <c r="R223" s="26">
        <v>0</v>
      </c>
      <c r="S223" s="41" t="s">
        <v>34</v>
      </c>
      <c r="T223" s="8" t="s">
        <v>353</v>
      </c>
      <c r="U223" s="8"/>
      <c r="V223" s="7">
        <v>610842.80000000005</v>
      </c>
      <c r="W223" s="7">
        <f>+V223*0.4</f>
        <v>244337.12000000002</v>
      </c>
      <c r="X223" s="7">
        <f t="shared" si="551"/>
        <v>366505.68000000005</v>
      </c>
      <c r="Y223" s="7">
        <v>0</v>
      </c>
      <c r="Z223" s="7">
        <f t="shared" si="552"/>
        <v>244337.12000000002</v>
      </c>
      <c r="AA223" s="148" t="str">
        <f t="shared" si="553"/>
        <v>40%</v>
      </c>
      <c r="AB223" s="148">
        <f t="shared" si="554"/>
        <v>0.6</v>
      </c>
      <c r="AC223" s="25">
        <f ca="1">TODAY()-19</f>
        <v>41103</v>
      </c>
      <c r="AD223" s="25">
        <f t="shared" ref="AD223:AE223" ca="1" si="655">TODAY()-19</f>
        <v>41103</v>
      </c>
      <c r="AE223" s="25">
        <f t="shared" ca="1" si="655"/>
        <v>41103</v>
      </c>
      <c r="AF223" s="8"/>
      <c r="AG223" s="59" t="str">
        <f t="shared" ca="1" si="556"/>
        <v>NA</v>
      </c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59" t="str">
        <f t="shared" si="605"/>
        <v>NA</v>
      </c>
      <c r="AS223" s="59" t="str">
        <f t="shared" si="606"/>
        <v/>
      </c>
      <c r="AT223" s="59"/>
      <c r="AU223" s="59" t="str">
        <f t="shared" si="534"/>
        <v>ND</v>
      </c>
      <c r="AV223" s="66"/>
      <c r="AW223" s="66"/>
      <c r="AX223" s="66"/>
      <c r="AY223" s="66"/>
      <c r="AZ223" s="8"/>
      <c r="BA223" s="8" t="s">
        <v>37</v>
      </c>
      <c r="BB223" s="8"/>
      <c r="BC223" s="8"/>
      <c r="BD223" s="8"/>
      <c r="BE223" s="8"/>
      <c r="BF223" s="8"/>
      <c r="BG223" s="8"/>
      <c r="BH223" s="8"/>
      <c r="BI223" s="8"/>
      <c r="BJ223" s="8"/>
      <c r="BK223" s="59"/>
      <c r="BL223" s="59"/>
      <c r="BM223" s="59"/>
      <c r="BN223" s="164">
        <v>0.01</v>
      </c>
      <c r="BO223" s="165">
        <f t="shared" si="557"/>
        <v>4072.2853333333337</v>
      </c>
      <c r="BP223" s="165">
        <f t="shared" ref="BP223:BQ223" si="656">BO223</f>
        <v>4072.2853333333337</v>
      </c>
      <c r="BQ223" s="165">
        <f t="shared" si="656"/>
        <v>4072.2853333333337</v>
      </c>
      <c r="BR223" s="59"/>
      <c r="BS223" s="59"/>
      <c r="BT223" s="59"/>
      <c r="BU223" s="59"/>
      <c r="BV223" s="59" t="str">
        <f t="shared" si="598"/>
        <v>ND</v>
      </c>
      <c r="BW223" s="59" t="str">
        <f t="shared" si="599"/>
        <v>ND</v>
      </c>
      <c r="BX223" s="59" t="str">
        <f t="shared" si="600"/>
        <v>ND</v>
      </c>
      <c r="BY223" s="59" t="str">
        <f t="shared" si="601"/>
        <v>ND</v>
      </c>
      <c r="BZ223" s="59" t="str">
        <f t="shared" si="536"/>
        <v>NA</v>
      </c>
      <c r="CA223" s="59" t="str">
        <f t="shared" si="537"/>
        <v/>
      </c>
      <c r="CB223" s="59" t="str">
        <f t="shared" si="538"/>
        <v>NA</v>
      </c>
      <c r="CC223" s="59" t="str">
        <f t="shared" si="539"/>
        <v/>
      </c>
      <c r="CD223" s="59" t="str">
        <f t="shared" si="540"/>
        <v>NA</v>
      </c>
      <c r="CE223" s="59" t="str">
        <f t="shared" si="541"/>
        <v/>
      </c>
      <c r="CF223" s="59" t="str">
        <f t="shared" si="542"/>
        <v>NA</v>
      </c>
      <c r="CG223" s="59" t="str">
        <f t="shared" ca="1" si="543"/>
        <v>NA</v>
      </c>
      <c r="CH223" s="59" t="str">
        <f t="shared" ca="1" si="544"/>
        <v>NA</v>
      </c>
      <c r="CI223" s="59" t="str">
        <f t="shared" ca="1" si="545"/>
        <v>DE 16 A 20 DIAS</v>
      </c>
      <c r="CJ223" s="59" t="str">
        <f t="shared" ca="1" si="546"/>
        <v>DE 16 A 20 DIAS</v>
      </c>
      <c r="CK223" s="59" t="str">
        <f t="shared" ca="1" si="547"/>
        <v>DE 16 A 20 DIAS</v>
      </c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>
        <f t="shared" si="559"/>
        <v>0</v>
      </c>
      <c r="DH223" s="8">
        <f t="shared" si="560"/>
        <v>0</v>
      </c>
      <c r="DI223" s="8">
        <f t="shared" si="561"/>
        <v>0</v>
      </c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59" t="str">
        <f t="shared" si="562"/>
        <v>NA</v>
      </c>
      <c r="DU223" s="59" t="str">
        <f t="shared" si="563"/>
        <v>NA</v>
      </c>
      <c r="DV223" s="59" t="str">
        <f t="shared" si="564"/>
        <v>NA</v>
      </c>
      <c r="DW223" s="59" t="str">
        <f t="shared" si="565"/>
        <v>NA</v>
      </c>
      <c r="DX223" s="59" t="str">
        <f t="shared" si="566"/>
        <v>NA</v>
      </c>
      <c r="DY223" s="59" t="str">
        <f t="shared" si="567"/>
        <v>NA</v>
      </c>
      <c r="DZ223" s="59" t="str">
        <f t="shared" si="568"/>
        <v>NA</v>
      </c>
      <c r="EA223" s="59" t="str">
        <f t="shared" si="569"/>
        <v>NA</v>
      </c>
      <c r="EB223" s="59" t="str">
        <f t="shared" si="570"/>
        <v>NA</v>
      </c>
      <c r="EC223" s="59" t="str">
        <f t="shared" si="571"/>
        <v>NA</v>
      </c>
      <c r="ED223" s="59" t="str">
        <f t="shared" si="572"/>
        <v/>
      </c>
      <c r="EE223" s="59" t="str">
        <f t="shared" si="573"/>
        <v/>
      </c>
      <c r="EF223" s="59" t="str">
        <f t="shared" si="574"/>
        <v/>
      </c>
      <c r="EG223" s="59" t="str">
        <f t="shared" si="575"/>
        <v/>
      </c>
      <c r="EH223" s="59" t="str">
        <f t="shared" si="576"/>
        <v/>
      </c>
      <c r="EI223" s="59" t="str">
        <f t="shared" si="577"/>
        <v/>
      </c>
      <c r="EJ223" s="59" t="str">
        <f t="shared" si="578"/>
        <v/>
      </c>
      <c r="EK223" s="59" t="str">
        <f t="shared" si="579"/>
        <v/>
      </c>
      <c r="EL223" s="59" t="str">
        <f t="shared" si="580"/>
        <v/>
      </c>
      <c r="EM223" s="59" t="str">
        <f t="shared" si="581"/>
        <v/>
      </c>
      <c r="EN223" s="59" t="str">
        <f t="shared" si="582"/>
        <v/>
      </c>
      <c r="EO223" s="59" t="str">
        <f t="shared" si="583"/>
        <v/>
      </c>
      <c r="EP223" s="59" t="str">
        <f t="shared" si="584"/>
        <v/>
      </c>
      <c r="EQ223" s="59" t="str">
        <f t="shared" si="585"/>
        <v/>
      </c>
      <c r="ER223" s="59" t="str">
        <f t="shared" si="586"/>
        <v/>
      </c>
      <c r="ES223" s="59" t="str">
        <f t="shared" si="587"/>
        <v/>
      </c>
      <c r="ET223" s="59" t="str">
        <f t="shared" si="588"/>
        <v/>
      </c>
      <c r="EU223" s="59" t="str">
        <f t="shared" si="589"/>
        <v/>
      </c>
      <c r="EV223" s="59" t="str">
        <f t="shared" si="590"/>
        <v/>
      </c>
      <c r="EW223" s="59" t="str">
        <f t="shared" si="591"/>
        <v/>
      </c>
      <c r="EX223" s="56">
        <f t="shared" si="548"/>
        <v>1221685.6000000001</v>
      </c>
    </row>
    <row r="224" spans="1:154" x14ac:dyDescent="0.25">
      <c r="A224" s="2">
        <f t="shared" si="592"/>
        <v>223</v>
      </c>
      <c r="B224" s="2" t="s">
        <v>6</v>
      </c>
      <c r="C224" s="2" t="str">
        <f t="shared" si="549"/>
        <v>060102</v>
      </c>
      <c r="D224" s="2">
        <v>6</v>
      </c>
      <c r="E224" s="2">
        <v>1</v>
      </c>
      <c r="F224" s="2">
        <v>2</v>
      </c>
      <c r="G224" s="11" t="s">
        <v>11</v>
      </c>
      <c r="H224" s="4"/>
      <c r="I224" s="42" t="s">
        <v>58</v>
      </c>
      <c r="J224" s="9">
        <v>91.775999999999996</v>
      </c>
      <c r="K224" s="5"/>
      <c r="L224" s="6" t="s">
        <v>306</v>
      </c>
      <c r="M224" s="24" t="s">
        <v>178</v>
      </c>
      <c r="N224" s="7">
        <f t="shared" si="593"/>
        <v>1170748.8</v>
      </c>
      <c r="O224" s="8">
        <v>262</v>
      </c>
      <c r="P224" s="25">
        <v>41258</v>
      </c>
      <c r="Q224" s="8" t="str">
        <f t="shared" si="550"/>
        <v>2DA-DIC</v>
      </c>
      <c r="R224" s="26">
        <v>0</v>
      </c>
      <c r="S224" s="41" t="s">
        <v>34</v>
      </c>
      <c r="T224" s="8" t="s">
        <v>353</v>
      </c>
      <c r="U224" s="8"/>
      <c r="V224" s="7">
        <v>585374.4</v>
      </c>
      <c r="W224" s="7">
        <f t="shared" ref="W224:W233" si="657">+V224*0.4</f>
        <v>234149.76000000001</v>
      </c>
      <c r="X224" s="7">
        <f t="shared" si="551"/>
        <v>351224.64</v>
      </c>
      <c r="Y224" s="7">
        <v>0</v>
      </c>
      <c r="Z224" s="7">
        <f t="shared" si="552"/>
        <v>234149.76000000001</v>
      </c>
      <c r="AA224" s="148" t="str">
        <f t="shared" si="553"/>
        <v>40%</v>
      </c>
      <c r="AB224" s="148">
        <f t="shared" si="554"/>
        <v>0.6</v>
      </c>
      <c r="AC224" s="25">
        <f ca="1">TODAY()-25</f>
        <v>41097</v>
      </c>
      <c r="AD224" s="25">
        <f t="shared" ref="AD224:AE224" ca="1" si="658">TODAY()-25</f>
        <v>41097</v>
      </c>
      <c r="AE224" s="25">
        <f t="shared" ca="1" si="658"/>
        <v>41097</v>
      </c>
      <c r="AF224" s="8"/>
      <c r="AG224" s="59" t="str">
        <f t="shared" ca="1" si="556"/>
        <v>NA</v>
      </c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59" t="str">
        <f t="shared" si="605"/>
        <v>NA</v>
      </c>
      <c r="AS224" s="59" t="str">
        <f t="shared" si="606"/>
        <v/>
      </c>
      <c r="AT224" s="59"/>
      <c r="AU224" s="59" t="str">
        <f t="shared" si="534"/>
        <v>ND</v>
      </c>
      <c r="AV224" s="66"/>
      <c r="AW224" s="66"/>
      <c r="AX224" s="66"/>
      <c r="AY224" s="66"/>
      <c r="AZ224" s="8"/>
      <c r="BA224" s="8" t="s">
        <v>37</v>
      </c>
      <c r="BB224" s="8"/>
      <c r="BC224" s="8"/>
      <c r="BD224" s="8"/>
      <c r="BE224" s="8"/>
      <c r="BF224" s="8"/>
      <c r="BG224" s="8"/>
      <c r="BH224" s="8"/>
      <c r="BI224" s="8"/>
      <c r="BJ224" s="8"/>
      <c r="BK224" s="59"/>
      <c r="BL224" s="59"/>
      <c r="BM224" s="59"/>
      <c r="BN224" s="164">
        <v>0.01</v>
      </c>
      <c r="BO224" s="165">
        <f t="shared" si="557"/>
        <v>3902.4960000000005</v>
      </c>
      <c r="BP224" s="165">
        <f t="shared" ref="BP224:BQ224" si="659">BO224</f>
        <v>3902.4960000000005</v>
      </c>
      <c r="BQ224" s="165">
        <f t="shared" si="659"/>
        <v>3902.4960000000005</v>
      </c>
      <c r="BR224" s="59"/>
      <c r="BS224" s="59"/>
      <c r="BT224" s="59"/>
      <c r="BU224" s="59"/>
      <c r="BV224" s="59" t="str">
        <f t="shared" si="598"/>
        <v>ND</v>
      </c>
      <c r="BW224" s="59" t="str">
        <f t="shared" si="599"/>
        <v>ND</v>
      </c>
      <c r="BX224" s="59" t="str">
        <f t="shared" si="600"/>
        <v>ND</v>
      </c>
      <c r="BY224" s="59" t="str">
        <f t="shared" si="601"/>
        <v>ND</v>
      </c>
      <c r="BZ224" s="59" t="str">
        <f t="shared" si="536"/>
        <v>NA</v>
      </c>
      <c r="CA224" s="59" t="str">
        <f t="shared" si="537"/>
        <v/>
      </c>
      <c r="CB224" s="59" t="str">
        <f t="shared" si="538"/>
        <v>NA</v>
      </c>
      <c r="CC224" s="59" t="str">
        <f t="shared" si="539"/>
        <v/>
      </c>
      <c r="CD224" s="59" t="str">
        <f t="shared" si="540"/>
        <v>NA</v>
      </c>
      <c r="CE224" s="59" t="str">
        <f t="shared" si="541"/>
        <v/>
      </c>
      <c r="CF224" s="59" t="str">
        <f t="shared" si="542"/>
        <v>NA</v>
      </c>
      <c r="CG224" s="59" t="str">
        <f t="shared" ca="1" si="543"/>
        <v>NA</v>
      </c>
      <c r="CH224" s="59" t="str">
        <f t="shared" ca="1" si="544"/>
        <v>NA</v>
      </c>
      <c r="CI224" s="59" t="str">
        <f t="shared" ca="1" si="545"/>
        <v>DE 21 A 25 DIAS</v>
      </c>
      <c r="CJ224" s="59" t="str">
        <f t="shared" ca="1" si="546"/>
        <v>DE 21 A 25 DIAS</v>
      </c>
      <c r="CK224" s="59" t="str">
        <f t="shared" ca="1" si="547"/>
        <v>DE 21 A 25 DIAS</v>
      </c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>
        <f t="shared" si="559"/>
        <v>0</v>
      </c>
      <c r="DH224" s="8">
        <f t="shared" si="560"/>
        <v>0</v>
      </c>
      <c r="DI224" s="8">
        <f t="shared" si="561"/>
        <v>0</v>
      </c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59" t="str">
        <f t="shared" si="562"/>
        <v>NA</v>
      </c>
      <c r="DU224" s="59" t="str">
        <f t="shared" si="563"/>
        <v>NA</v>
      </c>
      <c r="DV224" s="59" t="str">
        <f t="shared" si="564"/>
        <v>NA</v>
      </c>
      <c r="DW224" s="59" t="str">
        <f t="shared" si="565"/>
        <v>NA</v>
      </c>
      <c r="DX224" s="59" t="str">
        <f t="shared" si="566"/>
        <v>NA</v>
      </c>
      <c r="DY224" s="59" t="str">
        <f t="shared" si="567"/>
        <v>NA</v>
      </c>
      <c r="DZ224" s="59" t="str">
        <f t="shared" si="568"/>
        <v>NA</v>
      </c>
      <c r="EA224" s="59" t="str">
        <f t="shared" si="569"/>
        <v>NA</v>
      </c>
      <c r="EB224" s="59" t="str">
        <f t="shared" si="570"/>
        <v>NA</v>
      </c>
      <c r="EC224" s="59" t="str">
        <f t="shared" si="571"/>
        <v>NA</v>
      </c>
      <c r="ED224" s="59" t="str">
        <f t="shared" si="572"/>
        <v/>
      </c>
      <c r="EE224" s="59" t="str">
        <f t="shared" si="573"/>
        <v/>
      </c>
      <c r="EF224" s="59" t="str">
        <f t="shared" si="574"/>
        <v/>
      </c>
      <c r="EG224" s="59" t="str">
        <f t="shared" si="575"/>
        <v/>
      </c>
      <c r="EH224" s="59" t="str">
        <f t="shared" si="576"/>
        <v/>
      </c>
      <c r="EI224" s="59" t="str">
        <f t="shared" si="577"/>
        <v/>
      </c>
      <c r="EJ224" s="59" t="str">
        <f t="shared" si="578"/>
        <v/>
      </c>
      <c r="EK224" s="59" t="str">
        <f t="shared" si="579"/>
        <v/>
      </c>
      <c r="EL224" s="59" t="str">
        <f t="shared" si="580"/>
        <v/>
      </c>
      <c r="EM224" s="59" t="str">
        <f t="shared" si="581"/>
        <v/>
      </c>
      <c r="EN224" s="59" t="str">
        <f t="shared" si="582"/>
        <v/>
      </c>
      <c r="EO224" s="59" t="str">
        <f t="shared" si="583"/>
        <v/>
      </c>
      <c r="EP224" s="59" t="str">
        <f t="shared" si="584"/>
        <v/>
      </c>
      <c r="EQ224" s="59" t="str">
        <f t="shared" si="585"/>
        <v/>
      </c>
      <c r="ER224" s="59" t="str">
        <f t="shared" si="586"/>
        <v/>
      </c>
      <c r="ES224" s="59" t="str">
        <f t="shared" si="587"/>
        <v/>
      </c>
      <c r="ET224" s="59" t="str">
        <f t="shared" si="588"/>
        <v/>
      </c>
      <c r="EU224" s="59" t="str">
        <f t="shared" si="589"/>
        <v/>
      </c>
      <c r="EV224" s="59" t="str">
        <f t="shared" si="590"/>
        <v/>
      </c>
      <c r="EW224" s="59" t="str">
        <f t="shared" si="591"/>
        <v/>
      </c>
      <c r="EX224" s="56">
        <f t="shared" si="548"/>
        <v>1170748.8</v>
      </c>
    </row>
    <row r="225" spans="1:154" x14ac:dyDescent="0.25">
      <c r="A225" s="2">
        <f t="shared" si="592"/>
        <v>224</v>
      </c>
      <c r="B225" s="2" t="s">
        <v>6</v>
      </c>
      <c r="C225" s="2" t="str">
        <f t="shared" si="549"/>
        <v>060103</v>
      </c>
      <c r="D225" s="2">
        <v>6</v>
      </c>
      <c r="E225" s="2">
        <v>1</v>
      </c>
      <c r="F225" s="2">
        <v>3</v>
      </c>
      <c r="G225" s="11" t="s">
        <v>11</v>
      </c>
      <c r="H225" s="4"/>
      <c r="I225" s="42" t="s">
        <v>58</v>
      </c>
      <c r="J225" s="9">
        <v>89.816999999999993</v>
      </c>
      <c r="K225" s="5"/>
      <c r="L225" s="6" t="s">
        <v>306</v>
      </c>
      <c r="M225" s="24" t="s">
        <v>178</v>
      </c>
      <c r="N225" s="7">
        <f t="shared" si="593"/>
        <v>1163304.6000000001</v>
      </c>
      <c r="O225" s="8">
        <v>263</v>
      </c>
      <c r="P225" s="25">
        <v>41258</v>
      </c>
      <c r="Q225" s="8" t="str">
        <f t="shared" si="550"/>
        <v>2DA-DIC</v>
      </c>
      <c r="R225" s="26">
        <v>0</v>
      </c>
      <c r="S225" s="41" t="s">
        <v>34</v>
      </c>
      <c r="T225" s="8" t="s">
        <v>353</v>
      </c>
      <c r="U225" s="8"/>
      <c r="V225" s="7">
        <v>581652.30000000005</v>
      </c>
      <c r="W225" s="7">
        <f t="shared" si="657"/>
        <v>232660.92000000004</v>
      </c>
      <c r="X225" s="7">
        <f t="shared" si="551"/>
        <v>348991.38</v>
      </c>
      <c r="Y225" s="7">
        <v>0</v>
      </c>
      <c r="Z225" s="7">
        <f t="shared" si="552"/>
        <v>232660.92000000004</v>
      </c>
      <c r="AA225" s="148" t="str">
        <f t="shared" si="553"/>
        <v>40%</v>
      </c>
      <c r="AB225" s="148">
        <f t="shared" si="554"/>
        <v>0.6</v>
      </c>
      <c r="AC225" s="25">
        <f ca="1">TODAY()-29</f>
        <v>41093</v>
      </c>
      <c r="AD225" s="25">
        <f t="shared" ref="AD225:AE225" ca="1" si="660">TODAY()-29</f>
        <v>41093</v>
      </c>
      <c r="AE225" s="25">
        <f t="shared" ca="1" si="660"/>
        <v>41093</v>
      </c>
      <c r="AF225" s="8"/>
      <c r="AG225" s="59" t="str">
        <f t="shared" ca="1" si="556"/>
        <v>NA</v>
      </c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59" t="str">
        <f t="shared" si="605"/>
        <v>NA</v>
      </c>
      <c r="AS225" s="59" t="str">
        <f t="shared" si="606"/>
        <v/>
      </c>
      <c r="AT225" s="59"/>
      <c r="AU225" s="59" t="str">
        <f t="shared" si="534"/>
        <v>ND</v>
      </c>
      <c r="AV225" s="66"/>
      <c r="AW225" s="66"/>
      <c r="AX225" s="66"/>
      <c r="AY225" s="66"/>
      <c r="AZ225" s="8"/>
      <c r="BA225" s="8" t="s">
        <v>37</v>
      </c>
      <c r="BB225" s="8"/>
      <c r="BC225" s="8"/>
      <c r="BD225" s="8"/>
      <c r="BE225" s="8"/>
      <c r="BF225" s="8"/>
      <c r="BG225" s="8"/>
      <c r="BH225" s="8"/>
      <c r="BI225" s="8"/>
      <c r="BJ225" s="8"/>
      <c r="BK225" s="59"/>
      <c r="BL225" s="59"/>
      <c r="BM225" s="59"/>
      <c r="BN225" s="164">
        <v>0.01</v>
      </c>
      <c r="BO225" s="165">
        <f t="shared" si="557"/>
        <v>3877.6820000000002</v>
      </c>
      <c r="BP225" s="165">
        <f t="shared" ref="BP225:BQ225" si="661">BO225</f>
        <v>3877.6820000000002</v>
      </c>
      <c r="BQ225" s="165">
        <f t="shared" si="661"/>
        <v>3877.6820000000002</v>
      </c>
      <c r="BR225" s="59"/>
      <c r="BS225" s="59"/>
      <c r="BT225" s="59"/>
      <c r="BU225" s="59"/>
      <c r="BV225" s="59" t="str">
        <f t="shared" si="598"/>
        <v>ND</v>
      </c>
      <c r="BW225" s="59" t="str">
        <f t="shared" si="599"/>
        <v>ND</v>
      </c>
      <c r="BX225" s="59" t="str">
        <f t="shared" si="600"/>
        <v>ND</v>
      </c>
      <c r="BY225" s="59" t="str">
        <f t="shared" si="601"/>
        <v>ND</v>
      </c>
      <c r="BZ225" s="59" t="str">
        <f t="shared" si="536"/>
        <v>NA</v>
      </c>
      <c r="CA225" s="59" t="str">
        <f t="shared" si="537"/>
        <v/>
      </c>
      <c r="CB225" s="59" t="str">
        <f t="shared" si="538"/>
        <v>NA</v>
      </c>
      <c r="CC225" s="59" t="str">
        <f t="shared" si="539"/>
        <v/>
      </c>
      <c r="CD225" s="59" t="str">
        <f t="shared" si="540"/>
        <v>NA</v>
      </c>
      <c r="CE225" s="59" t="str">
        <f t="shared" si="541"/>
        <v/>
      </c>
      <c r="CF225" s="59" t="str">
        <f t="shared" si="542"/>
        <v>NA</v>
      </c>
      <c r="CG225" s="59" t="str">
        <f t="shared" ca="1" si="543"/>
        <v>NA</v>
      </c>
      <c r="CH225" s="59" t="str">
        <f t="shared" ca="1" si="544"/>
        <v>NA</v>
      </c>
      <c r="CI225" s="59" t="str">
        <f t="shared" ca="1" si="545"/>
        <v>DE 26 A 29 DIAS</v>
      </c>
      <c r="CJ225" s="59" t="str">
        <f t="shared" ca="1" si="546"/>
        <v>DE 26 A 29 DIAS</v>
      </c>
      <c r="CK225" s="59" t="str">
        <f t="shared" ca="1" si="547"/>
        <v>DE 26 A 29 DIAS</v>
      </c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>
        <f t="shared" si="559"/>
        <v>0</v>
      </c>
      <c r="DH225" s="8">
        <f t="shared" si="560"/>
        <v>0</v>
      </c>
      <c r="DI225" s="8">
        <f t="shared" si="561"/>
        <v>0</v>
      </c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59" t="str">
        <f t="shared" si="562"/>
        <v>NA</v>
      </c>
      <c r="DU225" s="59" t="str">
        <f t="shared" si="563"/>
        <v>NA</v>
      </c>
      <c r="DV225" s="59" t="str">
        <f t="shared" si="564"/>
        <v>NA</v>
      </c>
      <c r="DW225" s="59" t="str">
        <f t="shared" si="565"/>
        <v>NA</v>
      </c>
      <c r="DX225" s="59" t="str">
        <f t="shared" si="566"/>
        <v>NA</v>
      </c>
      <c r="DY225" s="59" t="str">
        <f t="shared" si="567"/>
        <v>NA</v>
      </c>
      <c r="DZ225" s="59" t="str">
        <f t="shared" si="568"/>
        <v>NA</v>
      </c>
      <c r="EA225" s="59" t="str">
        <f t="shared" si="569"/>
        <v>NA</v>
      </c>
      <c r="EB225" s="59" t="str">
        <f t="shared" si="570"/>
        <v>NA</v>
      </c>
      <c r="EC225" s="59" t="str">
        <f t="shared" si="571"/>
        <v>NA</v>
      </c>
      <c r="ED225" s="59" t="str">
        <f t="shared" si="572"/>
        <v/>
      </c>
      <c r="EE225" s="59" t="str">
        <f t="shared" si="573"/>
        <v/>
      </c>
      <c r="EF225" s="59" t="str">
        <f t="shared" si="574"/>
        <v/>
      </c>
      <c r="EG225" s="59" t="str">
        <f t="shared" si="575"/>
        <v/>
      </c>
      <c r="EH225" s="59" t="str">
        <f t="shared" si="576"/>
        <v/>
      </c>
      <c r="EI225" s="59" t="str">
        <f t="shared" si="577"/>
        <v/>
      </c>
      <c r="EJ225" s="59" t="str">
        <f t="shared" si="578"/>
        <v/>
      </c>
      <c r="EK225" s="59" t="str">
        <f t="shared" si="579"/>
        <v/>
      </c>
      <c r="EL225" s="59" t="str">
        <f t="shared" si="580"/>
        <v/>
      </c>
      <c r="EM225" s="59" t="str">
        <f t="shared" si="581"/>
        <v/>
      </c>
      <c r="EN225" s="59" t="str">
        <f t="shared" si="582"/>
        <v/>
      </c>
      <c r="EO225" s="59" t="str">
        <f t="shared" si="583"/>
        <v/>
      </c>
      <c r="EP225" s="59" t="str">
        <f t="shared" si="584"/>
        <v/>
      </c>
      <c r="EQ225" s="59" t="str">
        <f t="shared" si="585"/>
        <v/>
      </c>
      <c r="ER225" s="59" t="str">
        <f t="shared" si="586"/>
        <v/>
      </c>
      <c r="ES225" s="59" t="str">
        <f t="shared" si="587"/>
        <v/>
      </c>
      <c r="ET225" s="59" t="str">
        <f t="shared" si="588"/>
        <v/>
      </c>
      <c r="EU225" s="59" t="str">
        <f t="shared" si="589"/>
        <v/>
      </c>
      <c r="EV225" s="59" t="str">
        <f t="shared" si="590"/>
        <v/>
      </c>
      <c r="EW225" s="59" t="str">
        <f t="shared" si="591"/>
        <v/>
      </c>
      <c r="EX225" s="56">
        <f t="shared" si="548"/>
        <v>1163304.6000000001</v>
      </c>
    </row>
    <row r="226" spans="1:154" x14ac:dyDescent="0.25">
      <c r="A226" s="2">
        <f t="shared" si="592"/>
        <v>225</v>
      </c>
      <c r="B226" s="2" t="s">
        <v>6</v>
      </c>
      <c r="C226" s="2" t="str">
        <f t="shared" si="549"/>
        <v>060104</v>
      </c>
      <c r="D226" s="2">
        <v>6</v>
      </c>
      <c r="E226" s="2">
        <v>1</v>
      </c>
      <c r="F226" s="2">
        <v>4</v>
      </c>
      <c r="G226" s="11" t="s">
        <v>11</v>
      </c>
      <c r="H226" s="4"/>
      <c r="I226" s="42" t="s">
        <v>58</v>
      </c>
      <c r="J226" s="9">
        <v>87.858999999999995</v>
      </c>
      <c r="K226" s="9"/>
      <c r="L226" s="10" t="s">
        <v>8</v>
      </c>
      <c r="M226" s="24" t="s">
        <v>178</v>
      </c>
      <c r="N226" s="7">
        <f t="shared" si="593"/>
        <v>1164864.2</v>
      </c>
      <c r="O226" s="8">
        <v>264</v>
      </c>
      <c r="P226" s="25">
        <v>41258</v>
      </c>
      <c r="Q226" s="8" t="str">
        <f t="shared" si="550"/>
        <v>2DA-DIC</v>
      </c>
      <c r="R226" s="26">
        <v>0</v>
      </c>
      <c r="S226" s="41" t="s">
        <v>34</v>
      </c>
      <c r="T226" s="8" t="s">
        <v>353</v>
      </c>
      <c r="U226" s="8"/>
      <c r="V226" s="7">
        <v>582432.1</v>
      </c>
      <c r="W226" s="7">
        <f t="shared" si="657"/>
        <v>232972.84</v>
      </c>
      <c r="X226" s="7">
        <f t="shared" si="551"/>
        <v>349459.26</v>
      </c>
      <c r="Y226" s="7">
        <v>0</v>
      </c>
      <c r="Z226" s="7">
        <f t="shared" si="552"/>
        <v>232972.84</v>
      </c>
      <c r="AA226" s="148" t="str">
        <f t="shared" si="553"/>
        <v>40%</v>
      </c>
      <c r="AB226" s="148">
        <f t="shared" si="554"/>
        <v>0.6</v>
      </c>
      <c r="AC226" s="25">
        <f ca="1">TODAY()-30</f>
        <v>41092</v>
      </c>
      <c r="AD226" s="25">
        <f t="shared" ref="AD226:AE226" ca="1" si="662">TODAY()-30</f>
        <v>41092</v>
      </c>
      <c r="AE226" s="25">
        <f t="shared" ca="1" si="662"/>
        <v>41092</v>
      </c>
      <c r="AF226" s="8"/>
      <c r="AG226" s="59" t="str">
        <f t="shared" ca="1" si="556"/>
        <v>NA</v>
      </c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59" t="str">
        <f t="shared" si="605"/>
        <v>NA</v>
      </c>
      <c r="AS226" s="59" t="str">
        <f t="shared" si="606"/>
        <v/>
      </c>
      <c r="AT226" s="59"/>
      <c r="AU226" s="59" t="str">
        <f t="shared" si="534"/>
        <v>ND</v>
      </c>
      <c r="AV226" s="66"/>
      <c r="AW226" s="66"/>
      <c r="AX226" s="66"/>
      <c r="AY226" s="66"/>
      <c r="AZ226" s="8"/>
      <c r="BA226" s="8" t="s">
        <v>37</v>
      </c>
      <c r="BB226" s="8"/>
      <c r="BC226" s="8"/>
      <c r="BD226" s="8"/>
      <c r="BE226" s="8"/>
      <c r="BF226" s="8"/>
      <c r="BG226" s="8"/>
      <c r="BH226" s="8"/>
      <c r="BI226" s="8"/>
      <c r="BJ226" s="8"/>
      <c r="BK226" s="59"/>
      <c r="BL226" s="59"/>
      <c r="BM226" s="59"/>
      <c r="BN226" s="164">
        <v>0.01</v>
      </c>
      <c r="BO226" s="165">
        <f t="shared" si="557"/>
        <v>3882.8806666666665</v>
      </c>
      <c r="BP226" s="165">
        <f t="shared" ref="BP226:BQ226" si="663">BO226</f>
        <v>3882.8806666666665</v>
      </c>
      <c r="BQ226" s="165">
        <f t="shared" si="663"/>
        <v>3882.8806666666665</v>
      </c>
      <c r="BR226" s="59"/>
      <c r="BS226" s="59"/>
      <c r="BT226" s="59"/>
      <c r="BU226" s="59"/>
      <c r="BV226" s="59" t="str">
        <f t="shared" si="598"/>
        <v>ND</v>
      </c>
      <c r="BW226" s="59" t="str">
        <f t="shared" si="599"/>
        <v>ND</v>
      </c>
      <c r="BX226" s="59" t="str">
        <f t="shared" si="600"/>
        <v>ND</v>
      </c>
      <c r="BY226" s="59" t="str">
        <f t="shared" si="601"/>
        <v>ND</v>
      </c>
      <c r="BZ226" s="59" t="str">
        <f t="shared" si="536"/>
        <v>NA</v>
      </c>
      <c r="CA226" s="59" t="str">
        <f t="shared" si="537"/>
        <v/>
      </c>
      <c r="CB226" s="59" t="str">
        <f t="shared" si="538"/>
        <v>NA</v>
      </c>
      <c r="CC226" s="59" t="str">
        <f t="shared" si="539"/>
        <v/>
      </c>
      <c r="CD226" s="59" t="str">
        <f t="shared" si="540"/>
        <v>NA</v>
      </c>
      <c r="CE226" s="59" t="str">
        <f t="shared" si="541"/>
        <v/>
      </c>
      <c r="CF226" s="59" t="str">
        <f t="shared" si="542"/>
        <v>NA</v>
      </c>
      <c r="CG226" s="59" t="str">
        <f t="shared" ca="1" si="543"/>
        <v>NA</v>
      </c>
      <c r="CH226" s="59" t="str">
        <f t="shared" ca="1" si="544"/>
        <v>NA</v>
      </c>
      <c r="CI226" s="59" t="str">
        <f t="shared" ca="1" si="545"/>
        <v>30 DIAS</v>
      </c>
      <c r="CJ226" s="59" t="str">
        <f t="shared" ca="1" si="546"/>
        <v>30 DIAS</v>
      </c>
      <c r="CK226" s="59" t="str">
        <f t="shared" ca="1" si="547"/>
        <v>30 DIAS</v>
      </c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>
        <f t="shared" si="559"/>
        <v>0</v>
      </c>
      <c r="DH226" s="8">
        <f t="shared" si="560"/>
        <v>0</v>
      </c>
      <c r="DI226" s="8">
        <f t="shared" si="561"/>
        <v>0</v>
      </c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59" t="str">
        <f t="shared" si="562"/>
        <v>NA</v>
      </c>
      <c r="DU226" s="59" t="str">
        <f t="shared" si="563"/>
        <v>NA</v>
      </c>
      <c r="DV226" s="59" t="str">
        <f t="shared" si="564"/>
        <v>NA</v>
      </c>
      <c r="DW226" s="59" t="str">
        <f t="shared" si="565"/>
        <v>NA</v>
      </c>
      <c r="DX226" s="59" t="str">
        <f t="shared" si="566"/>
        <v>NA</v>
      </c>
      <c r="DY226" s="59" t="str">
        <f t="shared" si="567"/>
        <v>NA</v>
      </c>
      <c r="DZ226" s="59" t="str">
        <f t="shared" si="568"/>
        <v>NA</v>
      </c>
      <c r="EA226" s="59" t="str">
        <f t="shared" si="569"/>
        <v>NA</v>
      </c>
      <c r="EB226" s="59" t="str">
        <f t="shared" si="570"/>
        <v>NA</v>
      </c>
      <c r="EC226" s="59" t="str">
        <f t="shared" si="571"/>
        <v>NA</v>
      </c>
      <c r="ED226" s="59" t="str">
        <f t="shared" si="572"/>
        <v/>
      </c>
      <c r="EE226" s="59" t="str">
        <f t="shared" si="573"/>
        <v/>
      </c>
      <c r="EF226" s="59" t="str">
        <f t="shared" si="574"/>
        <v/>
      </c>
      <c r="EG226" s="59" t="str">
        <f t="shared" si="575"/>
        <v/>
      </c>
      <c r="EH226" s="59" t="str">
        <f t="shared" si="576"/>
        <v/>
      </c>
      <c r="EI226" s="59" t="str">
        <f t="shared" si="577"/>
        <v/>
      </c>
      <c r="EJ226" s="59" t="str">
        <f t="shared" si="578"/>
        <v/>
      </c>
      <c r="EK226" s="59" t="str">
        <f t="shared" si="579"/>
        <v/>
      </c>
      <c r="EL226" s="59" t="str">
        <f t="shared" si="580"/>
        <v/>
      </c>
      <c r="EM226" s="59" t="str">
        <f t="shared" si="581"/>
        <v/>
      </c>
      <c r="EN226" s="59" t="str">
        <f t="shared" si="582"/>
        <v/>
      </c>
      <c r="EO226" s="59" t="str">
        <f t="shared" si="583"/>
        <v/>
      </c>
      <c r="EP226" s="59" t="str">
        <f t="shared" si="584"/>
        <v/>
      </c>
      <c r="EQ226" s="59" t="str">
        <f t="shared" si="585"/>
        <v/>
      </c>
      <c r="ER226" s="59" t="str">
        <f t="shared" si="586"/>
        <v/>
      </c>
      <c r="ES226" s="59" t="str">
        <f t="shared" si="587"/>
        <v/>
      </c>
      <c r="ET226" s="59" t="str">
        <f t="shared" si="588"/>
        <v/>
      </c>
      <c r="EU226" s="59" t="str">
        <f t="shared" si="589"/>
        <v/>
      </c>
      <c r="EV226" s="59" t="str">
        <f t="shared" si="590"/>
        <v/>
      </c>
      <c r="EW226" s="59" t="str">
        <f t="shared" si="591"/>
        <v/>
      </c>
      <c r="EX226" s="56">
        <f t="shared" si="548"/>
        <v>1164864.2</v>
      </c>
    </row>
    <row r="227" spans="1:154" x14ac:dyDescent="0.25">
      <c r="A227" s="2">
        <f t="shared" si="592"/>
        <v>226</v>
      </c>
      <c r="B227" s="2" t="s">
        <v>6</v>
      </c>
      <c r="C227" s="2" t="str">
        <f t="shared" si="549"/>
        <v>060105</v>
      </c>
      <c r="D227" s="2">
        <v>6</v>
      </c>
      <c r="E227" s="2">
        <v>1</v>
      </c>
      <c r="F227" s="2">
        <v>5</v>
      </c>
      <c r="G227" s="11" t="s">
        <v>11</v>
      </c>
      <c r="H227" s="4"/>
      <c r="I227" s="42" t="s">
        <v>58</v>
      </c>
      <c r="J227" s="9">
        <v>85.900999999999996</v>
      </c>
      <c r="K227" s="5"/>
      <c r="L227" s="6" t="s">
        <v>306</v>
      </c>
      <c r="M227" s="24" t="s">
        <v>178</v>
      </c>
      <c r="N227" s="7">
        <f t="shared" si="593"/>
        <v>1148423.8</v>
      </c>
      <c r="O227" s="8">
        <v>265</v>
      </c>
      <c r="P227" s="25">
        <v>41258</v>
      </c>
      <c r="Q227" s="8" t="str">
        <f t="shared" si="550"/>
        <v>2DA-DIC</v>
      </c>
      <c r="R227" s="26">
        <v>0</v>
      </c>
      <c r="S227" s="41" t="s">
        <v>34</v>
      </c>
      <c r="T227" s="8" t="s">
        <v>353</v>
      </c>
      <c r="U227" s="8"/>
      <c r="V227" s="7">
        <v>574211.9</v>
      </c>
      <c r="W227" s="7">
        <f t="shared" si="657"/>
        <v>229684.76</v>
      </c>
      <c r="X227" s="7">
        <f t="shared" si="551"/>
        <v>344527.14</v>
      </c>
      <c r="Y227" s="7">
        <v>0</v>
      </c>
      <c r="Z227" s="7">
        <f t="shared" si="552"/>
        <v>229684.76</v>
      </c>
      <c r="AA227" s="148" t="str">
        <f t="shared" si="553"/>
        <v>40%</v>
      </c>
      <c r="AB227" s="148">
        <f t="shared" si="554"/>
        <v>0.6</v>
      </c>
      <c r="AC227" s="25">
        <f ca="1">TODAY()-34</f>
        <v>41088</v>
      </c>
      <c r="AD227" s="25">
        <f t="shared" ref="AD227:AE227" ca="1" si="664">TODAY()-34</f>
        <v>41088</v>
      </c>
      <c r="AE227" s="25">
        <f t="shared" ca="1" si="664"/>
        <v>41088</v>
      </c>
      <c r="AF227" s="8"/>
      <c r="AG227" s="59" t="str">
        <f t="shared" ca="1" si="556"/>
        <v>NA</v>
      </c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59" t="str">
        <f t="shared" si="605"/>
        <v>NA</v>
      </c>
      <c r="AS227" s="59" t="str">
        <f t="shared" si="606"/>
        <v/>
      </c>
      <c r="AT227" s="59"/>
      <c r="AU227" s="59" t="str">
        <f t="shared" si="534"/>
        <v>ND</v>
      </c>
      <c r="AV227" s="66"/>
      <c r="AW227" s="66"/>
      <c r="AX227" s="66"/>
      <c r="AY227" s="66"/>
      <c r="AZ227" s="8"/>
      <c r="BA227" s="8" t="s">
        <v>37</v>
      </c>
      <c r="BB227" s="8"/>
      <c r="BC227" s="8"/>
      <c r="BD227" s="8"/>
      <c r="BE227" s="8"/>
      <c r="BF227" s="8"/>
      <c r="BG227" s="8"/>
      <c r="BH227" s="8"/>
      <c r="BI227" s="8"/>
      <c r="BJ227" s="8"/>
      <c r="BK227" s="59"/>
      <c r="BL227" s="59"/>
      <c r="BM227" s="59"/>
      <c r="BN227" s="164">
        <v>0.01</v>
      </c>
      <c r="BO227" s="165">
        <f t="shared" si="557"/>
        <v>3828.0793333333336</v>
      </c>
      <c r="BP227" s="165">
        <f t="shared" ref="BP227:BQ227" si="665">BO227</f>
        <v>3828.0793333333336</v>
      </c>
      <c r="BQ227" s="165">
        <f t="shared" si="665"/>
        <v>3828.0793333333336</v>
      </c>
      <c r="BR227" s="59"/>
      <c r="BS227" s="59"/>
      <c r="BT227" s="59"/>
      <c r="BU227" s="59"/>
      <c r="BV227" s="59" t="str">
        <f t="shared" si="598"/>
        <v>ND</v>
      </c>
      <c r="BW227" s="59" t="str">
        <f t="shared" si="599"/>
        <v>ND</v>
      </c>
      <c r="BX227" s="59" t="str">
        <f t="shared" si="600"/>
        <v>ND</v>
      </c>
      <c r="BY227" s="59" t="str">
        <f t="shared" si="601"/>
        <v>ND</v>
      </c>
      <c r="BZ227" s="59" t="str">
        <f t="shared" si="536"/>
        <v>NA</v>
      </c>
      <c r="CA227" s="59" t="str">
        <f t="shared" si="537"/>
        <v/>
      </c>
      <c r="CB227" s="59" t="str">
        <f t="shared" si="538"/>
        <v>NA</v>
      </c>
      <c r="CC227" s="59" t="str">
        <f t="shared" si="539"/>
        <v/>
      </c>
      <c r="CD227" s="59" t="str">
        <f t="shared" si="540"/>
        <v>NA</v>
      </c>
      <c r="CE227" s="59" t="str">
        <f t="shared" si="541"/>
        <v/>
      </c>
      <c r="CF227" s="59" t="str">
        <f t="shared" si="542"/>
        <v>NA</v>
      </c>
      <c r="CG227" s="59" t="str">
        <f t="shared" ca="1" si="543"/>
        <v>NA</v>
      </c>
      <c r="CH227" s="59" t="str">
        <f t="shared" ca="1" si="544"/>
        <v>NA</v>
      </c>
      <c r="CI227" s="59" t="str">
        <f t="shared" ca="1" si="545"/>
        <v>DE 31 A 35 DIAS</v>
      </c>
      <c r="CJ227" s="59" t="str">
        <f t="shared" ca="1" si="546"/>
        <v>DE 31 A 35 DIAS</v>
      </c>
      <c r="CK227" s="59" t="str">
        <f t="shared" ca="1" si="547"/>
        <v>DE 31 A 35 DIAS</v>
      </c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>
        <f t="shared" si="559"/>
        <v>0</v>
      </c>
      <c r="DH227" s="8">
        <f t="shared" si="560"/>
        <v>0</v>
      </c>
      <c r="DI227" s="8">
        <f t="shared" si="561"/>
        <v>0</v>
      </c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59" t="str">
        <f t="shared" si="562"/>
        <v>NA</v>
      </c>
      <c r="DU227" s="59" t="str">
        <f t="shared" si="563"/>
        <v>NA</v>
      </c>
      <c r="DV227" s="59" t="str">
        <f t="shared" si="564"/>
        <v>NA</v>
      </c>
      <c r="DW227" s="59" t="str">
        <f t="shared" si="565"/>
        <v>NA</v>
      </c>
      <c r="DX227" s="59" t="str">
        <f t="shared" si="566"/>
        <v>NA</v>
      </c>
      <c r="DY227" s="59" t="str">
        <f t="shared" si="567"/>
        <v>NA</v>
      </c>
      <c r="DZ227" s="59" t="str">
        <f t="shared" si="568"/>
        <v>NA</v>
      </c>
      <c r="EA227" s="59" t="str">
        <f t="shared" si="569"/>
        <v>NA</v>
      </c>
      <c r="EB227" s="59" t="str">
        <f t="shared" si="570"/>
        <v>NA</v>
      </c>
      <c r="EC227" s="59" t="str">
        <f t="shared" si="571"/>
        <v>NA</v>
      </c>
      <c r="ED227" s="59" t="str">
        <f t="shared" si="572"/>
        <v/>
      </c>
      <c r="EE227" s="59" t="str">
        <f t="shared" si="573"/>
        <v/>
      </c>
      <c r="EF227" s="59" t="str">
        <f t="shared" si="574"/>
        <v/>
      </c>
      <c r="EG227" s="59" t="str">
        <f t="shared" si="575"/>
        <v/>
      </c>
      <c r="EH227" s="59" t="str">
        <f t="shared" si="576"/>
        <v/>
      </c>
      <c r="EI227" s="59" t="str">
        <f t="shared" si="577"/>
        <v/>
      </c>
      <c r="EJ227" s="59" t="str">
        <f t="shared" si="578"/>
        <v/>
      </c>
      <c r="EK227" s="59" t="str">
        <f t="shared" si="579"/>
        <v/>
      </c>
      <c r="EL227" s="59" t="str">
        <f t="shared" si="580"/>
        <v/>
      </c>
      <c r="EM227" s="59" t="str">
        <f t="shared" si="581"/>
        <v/>
      </c>
      <c r="EN227" s="59" t="str">
        <f t="shared" si="582"/>
        <v/>
      </c>
      <c r="EO227" s="59" t="str">
        <f t="shared" si="583"/>
        <v/>
      </c>
      <c r="EP227" s="59" t="str">
        <f t="shared" si="584"/>
        <v/>
      </c>
      <c r="EQ227" s="59" t="str">
        <f t="shared" si="585"/>
        <v/>
      </c>
      <c r="ER227" s="59" t="str">
        <f t="shared" si="586"/>
        <v/>
      </c>
      <c r="ES227" s="59" t="str">
        <f t="shared" si="587"/>
        <v/>
      </c>
      <c r="ET227" s="59" t="str">
        <f t="shared" si="588"/>
        <v/>
      </c>
      <c r="EU227" s="59" t="str">
        <f t="shared" si="589"/>
        <v/>
      </c>
      <c r="EV227" s="59" t="str">
        <f t="shared" si="590"/>
        <v/>
      </c>
      <c r="EW227" s="59" t="str">
        <f t="shared" si="591"/>
        <v/>
      </c>
      <c r="EX227" s="56">
        <f t="shared" si="548"/>
        <v>1148423.8</v>
      </c>
    </row>
    <row r="228" spans="1:154" x14ac:dyDescent="0.25">
      <c r="A228" s="2">
        <f t="shared" si="592"/>
        <v>227</v>
      </c>
      <c r="B228" s="2" t="s">
        <v>6</v>
      </c>
      <c r="C228" s="2" t="str">
        <f t="shared" si="549"/>
        <v>060106</v>
      </c>
      <c r="D228" s="2">
        <v>6</v>
      </c>
      <c r="E228" s="2">
        <v>1</v>
      </c>
      <c r="F228" s="2">
        <v>6</v>
      </c>
      <c r="G228" s="11" t="s">
        <v>11</v>
      </c>
      <c r="H228" s="4"/>
      <c r="I228" s="42" t="s">
        <v>58</v>
      </c>
      <c r="J228" s="9">
        <v>83.941999999999993</v>
      </c>
      <c r="K228" s="5"/>
      <c r="L228" s="6" t="s">
        <v>306</v>
      </c>
      <c r="M228" s="24" t="s">
        <v>178</v>
      </c>
      <c r="N228" s="7">
        <f t="shared" si="593"/>
        <v>1140979.5999999999</v>
      </c>
      <c r="O228" s="8">
        <v>266</v>
      </c>
      <c r="P228" s="25">
        <v>41258</v>
      </c>
      <c r="Q228" s="8" t="str">
        <f t="shared" si="550"/>
        <v>2DA-DIC</v>
      </c>
      <c r="R228" s="26">
        <v>0</v>
      </c>
      <c r="S228" s="41" t="s">
        <v>34</v>
      </c>
      <c r="T228" s="8" t="s">
        <v>353</v>
      </c>
      <c r="U228" s="8"/>
      <c r="V228" s="7">
        <v>570489.79999999993</v>
      </c>
      <c r="W228" s="7">
        <f t="shared" si="657"/>
        <v>228195.91999999998</v>
      </c>
      <c r="X228" s="7">
        <f t="shared" si="551"/>
        <v>342293.87999999995</v>
      </c>
      <c r="Y228" s="7">
        <v>0</v>
      </c>
      <c r="Z228" s="7">
        <f t="shared" si="552"/>
        <v>228195.91999999998</v>
      </c>
      <c r="AA228" s="148" t="str">
        <f t="shared" si="553"/>
        <v>40%</v>
      </c>
      <c r="AB228" s="148">
        <f t="shared" si="554"/>
        <v>0.6</v>
      </c>
      <c r="AC228" s="25">
        <f ca="1">TODAY()-39</f>
        <v>41083</v>
      </c>
      <c r="AD228" s="25">
        <f t="shared" ref="AD228:AE228" ca="1" si="666">TODAY()-39</f>
        <v>41083</v>
      </c>
      <c r="AE228" s="25">
        <f t="shared" ca="1" si="666"/>
        <v>41083</v>
      </c>
      <c r="AF228" s="8"/>
      <c r="AG228" s="59" t="str">
        <f t="shared" ca="1" si="556"/>
        <v>NA</v>
      </c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59" t="str">
        <f t="shared" si="605"/>
        <v>NA</v>
      </c>
      <c r="AS228" s="59" t="str">
        <f t="shared" si="606"/>
        <v/>
      </c>
      <c r="AT228" s="59"/>
      <c r="AU228" s="59" t="str">
        <f t="shared" si="534"/>
        <v>ND</v>
      </c>
      <c r="AV228" s="66"/>
      <c r="AW228" s="66"/>
      <c r="AX228" s="66"/>
      <c r="AY228" s="66"/>
      <c r="AZ228" s="8"/>
      <c r="BA228" s="8" t="s">
        <v>37</v>
      </c>
      <c r="BB228" s="8"/>
      <c r="BC228" s="8"/>
      <c r="BD228" s="8"/>
      <c r="BE228" s="8"/>
      <c r="BF228" s="8"/>
      <c r="BG228" s="8"/>
      <c r="BH228" s="8"/>
      <c r="BI228" s="8"/>
      <c r="BJ228" s="8"/>
      <c r="BK228" s="59"/>
      <c r="BL228" s="59"/>
      <c r="BM228" s="59"/>
      <c r="BN228" s="164">
        <v>0.01</v>
      </c>
      <c r="BO228" s="165">
        <f t="shared" si="557"/>
        <v>3803.2653333333328</v>
      </c>
      <c r="BP228" s="165">
        <f t="shared" ref="BP228:BQ228" si="667">BO228</f>
        <v>3803.2653333333328</v>
      </c>
      <c r="BQ228" s="165">
        <f t="shared" si="667"/>
        <v>3803.2653333333328</v>
      </c>
      <c r="BR228" s="59"/>
      <c r="BS228" s="59"/>
      <c r="BT228" s="59"/>
      <c r="BU228" s="59"/>
      <c r="BV228" s="59" t="str">
        <f t="shared" si="598"/>
        <v>ND</v>
      </c>
      <c r="BW228" s="59" t="str">
        <f t="shared" si="599"/>
        <v>ND</v>
      </c>
      <c r="BX228" s="59" t="str">
        <f t="shared" si="600"/>
        <v>ND</v>
      </c>
      <c r="BY228" s="59" t="str">
        <f t="shared" si="601"/>
        <v>ND</v>
      </c>
      <c r="BZ228" s="59" t="str">
        <f t="shared" si="536"/>
        <v>NA</v>
      </c>
      <c r="CA228" s="59" t="str">
        <f t="shared" si="537"/>
        <v/>
      </c>
      <c r="CB228" s="59" t="str">
        <f t="shared" si="538"/>
        <v>NA</v>
      </c>
      <c r="CC228" s="59" t="str">
        <f t="shared" si="539"/>
        <v/>
      </c>
      <c r="CD228" s="59" t="str">
        <f t="shared" si="540"/>
        <v>NA</v>
      </c>
      <c r="CE228" s="59" t="str">
        <f t="shared" si="541"/>
        <v/>
      </c>
      <c r="CF228" s="59" t="str">
        <f t="shared" si="542"/>
        <v>NA</v>
      </c>
      <c r="CG228" s="59" t="str">
        <f t="shared" ca="1" si="543"/>
        <v>NA</v>
      </c>
      <c r="CH228" s="59" t="str">
        <f t="shared" ca="1" si="544"/>
        <v>NA</v>
      </c>
      <c r="CI228" s="59" t="str">
        <f t="shared" ca="1" si="545"/>
        <v>DE 36 A 45 DIAS</v>
      </c>
      <c r="CJ228" s="59" t="str">
        <f t="shared" ca="1" si="546"/>
        <v>DE 36 A 45 DIAS</v>
      </c>
      <c r="CK228" s="59" t="str">
        <f t="shared" ca="1" si="547"/>
        <v>DE 36 A 45 DIAS</v>
      </c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>
        <f t="shared" si="559"/>
        <v>0</v>
      </c>
      <c r="DH228" s="8">
        <f t="shared" si="560"/>
        <v>0</v>
      </c>
      <c r="DI228" s="8">
        <f t="shared" si="561"/>
        <v>0</v>
      </c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59" t="str">
        <f t="shared" si="562"/>
        <v>NA</v>
      </c>
      <c r="DU228" s="59" t="str">
        <f t="shared" si="563"/>
        <v>NA</v>
      </c>
      <c r="DV228" s="59" t="str">
        <f t="shared" si="564"/>
        <v>NA</v>
      </c>
      <c r="DW228" s="59" t="str">
        <f t="shared" si="565"/>
        <v>NA</v>
      </c>
      <c r="DX228" s="59" t="str">
        <f t="shared" si="566"/>
        <v>NA</v>
      </c>
      <c r="DY228" s="59" t="str">
        <f t="shared" si="567"/>
        <v>NA</v>
      </c>
      <c r="DZ228" s="59" t="str">
        <f t="shared" si="568"/>
        <v>NA</v>
      </c>
      <c r="EA228" s="59" t="str">
        <f t="shared" si="569"/>
        <v>NA</v>
      </c>
      <c r="EB228" s="59" t="str">
        <f t="shared" si="570"/>
        <v>NA</v>
      </c>
      <c r="EC228" s="59" t="str">
        <f t="shared" si="571"/>
        <v>NA</v>
      </c>
      <c r="ED228" s="59" t="str">
        <f t="shared" si="572"/>
        <v/>
      </c>
      <c r="EE228" s="59" t="str">
        <f t="shared" si="573"/>
        <v/>
      </c>
      <c r="EF228" s="59" t="str">
        <f t="shared" si="574"/>
        <v/>
      </c>
      <c r="EG228" s="59" t="str">
        <f t="shared" si="575"/>
        <v/>
      </c>
      <c r="EH228" s="59" t="str">
        <f t="shared" si="576"/>
        <v/>
      </c>
      <c r="EI228" s="59" t="str">
        <f t="shared" si="577"/>
        <v/>
      </c>
      <c r="EJ228" s="59" t="str">
        <f t="shared" si="578"/>
        <v/>
      </c>
      <c r="EK228" s="59" t="str">
        <f t="shared" si="579"/>
        <v/>
      </c>
      <c r="EL228" s="59" t="str">
        <f t="shared" si="580"/>
        <v/>
      </c>
      <c r="EM228" s="59" t="str">
        <f t="shared" si="581"/>
        <v/>
      </c>
      <c r="EN228" s="59" t="str">
        <f t="shared" si="582"/>
        <v/>
      </c>
      <c r="EO228" s="59" t="str">
        <f t="shared" si="583"/>
        <v/>
      </c>
      <c r="EP228" s="59" t="str">
        <f t="shared" si="584"/>
        <v/>
      </c>
      <c r="EQ228" s="59" t="str">
        <f t="shared" si="585"/>
        <v/>
      </c>
      <c r="ER228" s="59" t="str">
        <f t="shared" si="586"/>
        <v/>
      </c>
      <c r="ES228" s="59" t="str">
        <f t="shared" si="587"/>
        <v/>
      </c>
      <c r="ET228" s="59" t="str">
        <f t="shared" si="588"/>
        <v/>
      </c>
      <c r="EU228" s="59" t="str">
        <f t="shared" si="589"/>
        <v/>
      </c>
      <c r="EV228" s="59" t="str">
        <f t="shared" si="590"/>
        <v/>
      </c>
      <c r="EW228" s="59" t="str">
        <f t="shared" si="591"/>
        <v/>
      </c>
      <c r="EX228" s="56">
        <f t="shared" si="548"/>
        <v>1140979.5999999999</v>
      </c>
    </row>
    <row r="229" spans="1:154" x14ac:dyDescent="0.25">
      <c r="A229" s="2">
        <f t="shared" si="592"/>
        <v>228</v>
      </c>
      <c r="B229" s="2" t="s">
        <v>6</v>
      </c>
      <c r="C229" s="2" t="str">
        <f t="shared" si="549"/>
        <v>060107</v>
      </c>
      <c r="D229" s="2">
        <v>6</v>
      </c>
      <c r="E229" s="2">
        <v>1</v>
      </c>
      <c r="F229" s="2">
        <v>7</v>
      </c>
      <c r="G229" s="11" t="s">
        <v>11</v>
      </c>
      <c r="H229" s="4"/>
      <c r="I229" s="42" t="s">
        <v>58</v>
      </c>
      <c r="J229" s="9">
        <v>81.983999999999995</v>
      </c>
      <c r="K229" s="9"/>
      <c r="L229" s="10" t="s">
        <v>8</v>
      </c>
      <c r="M229" s="24" t="s">
        <v>178</v>
      </c>
      <c r="N229" s="7">
        <f t="shared" si="593"/>
        <v>1142539.2</v>
      </c>
      <c r="O229" s="8">
        <v>267</v>
      </c>
      <c r="P229" s="25">
        <v>41258</v>
      </c>
      <c r="Q229" s="8" t="str">
        <f t="shared" si="550"/>
        <v>2DA-DIC</v>
      </c>
      <c r="R229" s="26">
        <v>0</v>
      </c>
      <c r="S229" s="41" t="s">
        <v>34</v>
      </c>
      <c r="T229" s="8" t="s">
        <v>353</v>
      </c>
      <c r="U229" s="8"/>
      <c r="V229" s="7">
        <v>571269.6</v>
      </c>
      <c r="W229" s="7">
        <f t="shared" si="657"/>
        <v>228507.84</v>
      </c>
      <c r="X229" s="7">
        <f t="shared" si="551"/>
        <v>342761.76</v>
      </c>
      <c r="Y229" s="7">
        <v>0</v>
      </c>
      <c r="Z229" s="7">
        <f t="shared" si="552"/>
        <v>228507.84</v>
      </c>
      <c r="AA229" s="148" t="str">
        <f t="shared" si="553"/>
        <v>40%</v>
      </c>
      <c r="AB229" s="148">
        <f t="shared" si="554"/>
        <v>0.6</v>
      </c>
      <c r="AC229" s="25">
        <f ca="1">TODAY()-45</f>
        <v>41077</v>
      </c>
      <c r="AD229" s="25">
        <f t="shared" ref="AD229:AE229" ca="1" si="668">TODAY()-45</f>
        <v>41077</v>
      </c>
      <c r="AE229" s="25">
        <f t="shared" ca="1" si="668"/>
        <v>41077</v>
      </c>
      <c r="AF229" s="8"/>
      <c r="AG229" s="59" t="str">
        <f t="shared" ca="1" si="556"/>
        <v>NA</v>
      </c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59" t="str">
        <f t="shared" si="605"/>
        <v>NA</v>
      </c>
      <c r="AS229" s="59" t="str">
        <f t="shared" si="606"/>
        <v/>
      </c>
      <c r="AT229" s="59"/>
      <c r="AU229" s="59" t="str">
        <f t="shared" si="534"/>
        <v>ND</v>
      </c>
      <c r="AV229" s="66"/>
      <c r="AW229" s="66"/>
      <c r="AX229" s="66"/>
      <c r="AY229" s="66"/>
      <c r="AZ229" s="8"/>
      <c r="BA229" s="8" t="s">
        <v>37</v>
      </c>
      <c r="BB229" s="8"/>
      <c r="BC229" s="8"/>
      <c r="BD229" s="8"/>
      <c r="BE229" s="8"/>
      <c r="BF229" s="8"/>
      <c r="BG229" s="8"/>
      <c r="BH229" s="8"/>
      <c r="BI229" s="8"/>
      <c r="BJ229" s="8"/>
      <c r="BK229" s="59"/>
      <c r="BL229" s="59"/>
      <c r="BM229" s="59"/>
      <c r="BN229" s="164">
        <v>0.01</v>
      </c>
      <c r="BO229" s="165">
        <f t="shared" si="557"/>
        <v>3808.4639999999999</v>
      </c>
      <c r="BP229" s="165">
        <f t="shared" ref="BP229:BQ229" si="669">BO229</f>
        <v>3808.4639999999999</v>
      </c>
      <c r="BQ229" s="165">
        <f t="shared" si="669"/>
        <v>3808.4639999999999</v>
      </c>
      <c r="BR229" s="59"/>
      <c r="BS229" s="59"/>
      <c r="BT229" s="59"/>
      <c r="BU229" s="59"/>
      <c r="BV229" s="59" t="str">
        <f t="shared" si="598"/>
        <v>ND</v>
      </c>
      <c r="BW229" s="59" t="str">
        <f t="shared" si="599"/>
        <v>ND</v>
      </c>
      <c r="BX229" s="59" t="str">
        <f t="shared" si="600"/>
        <v>ND</v>
      </c>
      <c r="BY229" s="59" t="str">
        <f t="shared" si="601"/>
        <v>ND</v>
      </c>
      <c r="BZ229" s="59" t="str">
        <f t="shared" si="536"/>
        <v>NA</v>
      </c>
      <c r="CA229" s="59" t="str">
        <f t="shared" si="537"/>
        <v/>
      </c>
      <c r="CB229" s="59" t="str">
        <f t="shared" si="538"/>
        <v>NA</v>
      </c>
      <c r="CC229" s="59" t="str">
        <f t="shared" si="539"/>
        <v/>
      </c>
      <c r="CD229" s="59" t="str">
        <f t="shared" si="540"/>
        <v>NA</v>
      </c>
      <c r="CE229" s="59" t="str">
        <f t="shared" si="541"/>
        <v/>
      </c>
      <c r="CF229" s="59" t="str">
        <f t="shared" si="542"/>
        <v>NA</v>
      </c>
      <c r="CG229" s="59" t="str">
        <f t="shared" ca="1" si="543"/>
        <v>NA</v>
      </c>
      <c r="CH229" s="59" t="str">
        <f t="shared" ca="1" si="544"/>
        <v>NA</v>
      </c>
      <c r="CI229" s="59" t="str">
        <f t="shared" ca="1" si="545"/>
        <v>DE 36 A 45 DIAS</v>
      </c>
      <c r="CJ229" s="59" t="str">
        <f t="shared" ca="1" si="546"/>
        <v>DE 36 A 45 DIAS</v>
      </c>
      <c r="CK229" s="59" t="str">
        <f t="shared" ca="1" si="547"/>
        <v>DE 36 A 45 DIAS</v>
      </c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>
        <f t="shared" si="559"/>
        <v>0</v>
      </c>
      <c r="DH229" s="8">
        <f t="shared" si="560"/>
        <v>0</v>
      </c>
      <c r="DI229" s="8">
        <f t="shared" si="561"/>
        <v>0</v>
      </c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59" t="str">
        <f t="shared" si="562"/>
        <v>NA</v>
      </c>
      <c r="DU229" s="59" t="str">
        <f t="shared" si="563"/>
        <v>NA</v>
      </c>
      <c r="DV229" s="59" t="str">
        <f t="shared" si="564"/>
        <v>NA</v>
      </c>
      <c r="DW229" s="59" t="str">
        <f t="shared" si="565"/>
        <v>NA</v>
      </c>
      <c r="DX229" s="59" t="str">
        <f t="shared" si="566"/>
        <v>NA</v>
      </c>
      <c r="DY229" s="59" t="str">
        <f t="shared" si="567"/>
        <v>NA</v>
      </c>
      <c r="DZ229" s="59" t="str">
        <f t="shared" si="568"/>
        <v>NA</v>
      </c>
      <c r="EA229" s="59" t="str">
        <f t="shared" si="569"/>
        <v>NA</v>
      </c>
      <c r="EB229" s="59" t="str">
        <f t="shared" si="570"/>
        <v>NA</v>
      </c>
      <c r="EC229" s="59" t="str">
        <f t="shared" si="571"/>
        <v>NA</v>
      </c>
      <c r="ED229" s="59" t="str">
        <f t="shared" si="572"/>
        <v/>
      </c>
      <c r="EE229" s="59" t="str">
        <f t="shared" si="573"/>
        <v/>
      </c>
      <c r="EF229" s="59" t="str">
        <f t="shared" si="574"/>
        <v/>
      </c>
      <c r="EG229" s="59" t="str">
        <f t="shared" si="575"/>
        <v/>
      </c>
      <c r="EH229" s="59" t="str">
        <f t="shared" si="576"/>
        <v/>
      </c>
      <c r="EI229" s="59" t="str">
        <f t="shared" si="577"/>
        <v/>
      </c>
      <c r="EJ229" s="59" t="str">
        <f t="shared" si="578"/>
        <v/>
      </c>
      <c r="EK229" s="59" t="str">
        <f t="shared" si="579"/>
        <v/>
      </c>
      <c r="EL229" s="59" t="str">
        <f t="shared" si="580"/>
        <v/>
      </c>
      <c r="EM229" s="59" t="str">
        <f t="shared" si="581"/>
        <v/>
      </c>
      <c r="EN229" s="59" t="str">
        <f t="shared" si="582"/>
        <v/>
      </c>
      <c r="EO229" s="59" t="str">
        <f t="shared" si="583"/>
        <v/>
      </c>
      <c r="EP229" s="59" t="str">
        <f t="shared" si="584"/>
        <v/>
      </c>
      <c r="EQ229" s="59" t="str">
        <f t="shared" si="585"/>
        <v/>
      </c>
      <c r="ER229" s="59" t="str">
        <f t="shared" si="586"/>
        <v/>
      </c>
      <c r="ES229" s="59" t="str">
        <f t="shared" si="587"/>
        <v/>
      </c>
      <c r="ET229" s="59" t="str">
        <f t="shared" si="588"/>
        <v/>
      </c>
      <c r="EU229" s="59" t="str">
        <f t="shared" si="589"/>
        <v/>
      </c>
      <c r="EV229" s="59" t="str">
        <f t="shared" si="590"/>
        <v/>
      </c>
      <c r="EW229" s="59" t="str">
        <f t="shared" si="591"/>
        <v/>
      </c>
      <c r="EX229" s="56">
        <f t="shared" si="548"/>
        <v>1142539.2</v>
      </c>
    </row>
    <row r="230" spans="1:154" x14ac:dyDescent="0.25">
      <c r="A230" s="2">
        <f t="shared" si="592"/>
        <v>229</v>
      </c>
      <c r="B230" s="2" t="s">
        <v>6</v>
      </c>
      <c r="C230" s="2" t="str">
        <f t="shared" si="549"/>
        <v>060108</v>
      </c>
      <c r="D230" s="2">
        <v>6</v>
      </c>
      <c r="E230" s="2">
        <v>1</v>
      </c>
      <c r="F230" s="2">
        <v>8</v>
      </c>
      <c r="G230" s="11" t="s">
        <v>11</v>
      </c>
      <c r="H230" s="4"/>
      <c r="I230" s="42" t="s">
        <v>58</v>
      </c>
      <c r="J230" s="9">
        <v>80.025999999999996</v>
      </c>
      <c r="K230" s="5"/>
      <c r="L230" s="6" t="s">
        <v>306</v>
      </c>
      <c r="M230" s="24" t="s">
        <v>178</v>
      </c>
      <c r="N230" s="7">
        <f t="shared" si="593"/>
        <v>1126098.8</v>
      </c>
      <c r="O230" s="8">
        <v>268</v>
      </c>
      <c r="P230" s="25">
        <v>41258</v>
      </c>
      <c r="Q230" s="8" t="str">
        <f t="shared" si="550"/>
        <v>2DA-DIC</v>
      </c>
      <c r="R230" s="26">
        <v>0</v>
      </c>
      <c r="S230" s="41" t="s">
        <v>34</v>
      </c>
      <c r="T230" s="8" t="s">
        <v>353</v>
      </c>
      <c r="U230" s="8"/>
      <c r="V230" s="7">
        <v>563049.4</v>
      </c>
      <c r="W230" s="7">
        <f t="shared" si="657"/>
        <v>225219.76</v>
      </c>
      <c r="X230" s="7">
        <f t="shared" si="551"/>
        <v>337829.64</v>
      </c>
      <c r="Y230" s="7">
        <v>0</v>
      </c>
      <c r="Z230" s="7">
        <f t="shared" si="552"/>
        <v>225219.76</v>
      </c>
      <c r="AA230" s="148" t="str">
        <f t="shared" si="553"/>
        <v>40%</v>
      </c>
      <c r="AB230" s="148">
        <f t="shared" si="554"/>
        <v>0.6</v>
      </c>
      <c r="AC230" s="25">
        <f ca="1">TODAY()-50</f>
        <v>41072</v>
      </c>
      <c r="AD230" s="25">
        <f t="shared" ref="AD230:AE230" ca="1" si="670">TODAY()-50</f>
        <v>41072</v>
      </c>
      <c r="AE230" s="25">
        <f t="shared" ca="1" si="670"/>
        <v>41072</v>
      </c>
      <c r="AF230" s="8"/>
      <c r="AG230" s="59" t="str">
        <f t="shared" ca="1" si="556"/>
        <v>NA</v>
      </c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59" t="str">
        <f t="shared" si="605"/>
        <v>NA</v>
      </c>
      <c r="AS230" s="59" t="str">
        <f t="shared" si="606"/>
        <v/>
      </c>
      <c r="AT230" s="59"/>
      <c r="AU230" s="59" t="str">
        <f t="shared" si="534"/>
        <v>ND</v>
      </c>
      <c r="AV230" s="66"/>
      <c r="AW230" s="66"/>
      <c r="AX230" s="66"/>
      <c r="AY230" s="66"/>
      <c r="AZ230" s="8"/>
      <c r="BA230" s="8" t="s">
        <v>37</v>
      </c>
      <c r="BB230" s="8"/>
      <c r="BC230" s="8"/>
      <c r="BD230" s="8"/>
      <c r="BE230" s="8"/>
      <c r="BF230" s="8"/>
      <c r="BG230" s="8"/>
      <c r="BH230" s="8"/>
      <c r="BI230" s="8"/>
      <c r="BJ230" s="8"/>
      <c r="BK230" s="59"/>
      <c r="BL230" s="59"/>
      <c r="BM230" s="59"/>
      <c r="BN230" s="164">
        <v>0.01</v>
      </c>
      <c r="BO230" s="165">
        <f t="shared" si="557"/>
        <v>3753.6626666666671</v>
      </c>
      <c r="BP230" s="165">
        <f t="shared" ref="BP230:BQ230" si="671">BO230</f>
        <v>3753.6626666666671</v>
      </c>
      <c r="BQ230" s="165">
        <f t="shared" si="671"/>
        <v>3753.6626666666671</v>
      </c>
      <c r="BR230" s="59"/>
      <c r="BS230" s="59"/>
      <c r="BT230" s="59"/>
      <c r="BU230" s="59"/>
      <c r="BV230" s="59" t="str">
        <f t="shared" si="598"/>
        <v>ND</v>
      </c>
      <c r="BW230" s="59" t="str">
        <f t="shared" si="599"/>
        <v>ND</v>
      </c>
      <c r="BX230" s="59" t="str">
        <f t="shared" si="600"/>
        <v>ND</v>
      </c>
      <c r="BY230" s="59" t="str">
        <f t="shared" si="601"/>
        <v>ND</v>
      </c>
      <c r="BZ230" s="59" t="str">
        <f t="shared" si="536"/>
        <v>NA</v>
      </c>
      <c r="CA230" s="59" t="str">
        <f t="shared" si="537"/>
        <v/>
      </c>
      <c r="CB230" s="59" t="str">
        <f t="shared" si="538"/>
        <v>NA</v>
      </c>
      <c r="CC230" s="59" t="str">
        <f t="shared" si="539"/>
        <v/>
      </c>
      <c r="CD230" s="59" t="str">
        <f t="shared" si="540"/>
        <v>NA</v>
      </c>
      <c r="CE230" s="59" t="str">
        <f t="shared" si="541"/>
        <v/>
      </c>
      <c r="CF230" s="59" t="str">
        <f t="shared" si="542"/>
        <v>NA</v>
      </c>
      <c r="CG230" s="59" t="str">
        <f t="shared" ca="1" si="543"/>
        <v>NA</v>
      </c>
      <c r="CH230" s="59" t="str">
        <f t="shared" ca="1" si="544"/>
        <v>NA</v>
      </c>
      <c r="CI230" s="59" t="str">
        <f t="shared" ca="1" si="545"/>
        <v>MAYOR A 45 DIAS</v>
      </c>
      <c r="CJ230" s="59" t="str">
        <f t="shared" ca="1" si="546"/>
        <v>MAYOR A 45 DIAS</v>
      </c>
      <c r="CK230" s="59" t="str">
        <f t="shared" ca="1" si="547"/>
        <v>MAYOR A 45 DIAS</v>
      </c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>
        <f t="shared" si="559"/>
        <v>0</v>
      </c>
      <c r="DH230" s="8">
        <f t="shared" si="560"/>
        <v>0</v>
      </c>
      <c r="DI230" s="8">
        <f t="shared" si="561"/>
        <v>0</v>
      </c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59" t="str">
        <f t="shared" si="562"/>
        <v>NA</v>
      </c>
      <c r="DU230" s="59" t="str">
        <f t="shared" si="563"/>
        <v>NA</v>
      </c>
      <c r="DV230" s="59" t="str">
        <f t="shared" si="564"/>
        <v>NA</v>
      </c>
      <c r="DW230" s="59" t="str">
        <f t="shared" si="565"/>
        <v>NA</v>
      </c>
      <c r="DX230" s="59" t="str">
        <f t="shared" si="566"/>
        <v>NA</v>
      </c>
      <c r="DY230" s="59" t="str">
        <f t="shared" si="567"/>
        <v>NA</v>
      </c>
      <c r="DZ230" s="59" t="str">
        <f t="shared" si="568"/>
        <v>NA</v>
      </c>
      <c r="EA230" s="59" t="str">
        <f t="shared" si="569"/>
        <v>NA</v>
      </c>
      <c r="EB230" s="59" t="str">
        <f t="shared" si="570"/>
        <v>NA</v>
      </c>
      <c r="EC230" s="59" t="str">
        <f t="shared" si="571"/>
        <v>NA</v>
      </c>
      <c r="ED230" s="59" t="str">
        <f t="shared" si="572"/>
        <v/>
      </c>
      <c r="EE230" s="59" t="str">
        <f t="shared" si="573"/>
        <v/>
      </c>
      <c r="EF230" s="59" t="str">
        <f t="shared" si="574"/>
        <v/>
      </c>
      <c r="EG230" s="59" t="str">
        <f t="shared" si="575"/>
        <v/>
      </c>
      <c r="EH230" s="59" t="str">
        <f t="shared" si="576"/>
        <v/>
      </c>
      <c r="EI230" s="59" t="str">
        <f t="shared" si="577"/>
        <v/>
      </c>
      <c r="EJ230" s="59" t="str">
        <f t="shared" si="578"/>
        <v/>
      </c>
      <c r="EK230" s="59" t="str">
        <f t="shared" si="579"/>
        <v/>
      </c>
      <c r="EL230" s="59" t="str">
        <f t="shared" si="580"/>
        <v/>
      </c>
      <c r="EM230" s="59" t="str">
        <f t="shared" si="581"/>
        <v/>
      </c>
      <c r="EN230" s="59" t="str">
        <f t="shared" si="582"/>
        <v/>
      </c>
      <c r="EO230" s="59" t="str">
        <f t="shared" si="583"/>
        <v/>
      </c>
      <c r="EP230" s="59" t="str">
        <f t="shared" si="584"/>
        <v/>
      </c>
      <c r="EQ230" s="59" t="str">
        <f t="shared" si="585"/>
        <v/>
      </c>
      <c r="ER230" s="59" t="str">
        <f t="shared" si="586"/>
        <v/>
      </c>
      <c r="ES230" s="59" t="str">
        <f t="shared" si="587"/>
        <v/>
      </c>
      <c r="ET230" s="59" t="str">
        <f t="shared" si="588"/>
        <v/>
      </c>
      <c r="EU230" s="59" t="str">
        <f t="shared" si="589"/>
        <v/>
      </c>
      <c r="EV230" s="59" t="str">
        <f t="shared" si="590"/>
        <v/>
      </c>
      <c r="EW230" s="59" t="str">
        <f t="shared" si="591"/>
        <v/>
      </c>
      <c r="EX230" s="56">
        <f t="shared" si="548"/>
        <v>1126098.8</v>
      </c>
    </row>
    <row r="231" spans="1:154" x14ac:dyDescent="0.25">
      <c r="A231" s="2">
        <f t="shared" si="592"/>
        <v>230</v>
      </c>
      <c r="B231" s="2" t="s">
        <v>6</v>
      </c>
      <c r="C231" s="2" t="str">
        <f t="shared" si="549"/>
        <v>060109</v>
      </c>
      <c r="D231" s="2">
        <v>6</v>
      </c>
      <c r="E231" s="2">
        <v>1</v>
      </c>
      <c r="F231" s="2">
        <v>9</v>
      </c>
      <c r="G231" s="11" t="s">
        <v>11</v>
      </c>
      <c r="H231" s="4"/>
      <c r="I231" s="42" t="s">
        <v>58</v>
      </c>
      <c r="J231" s="9">
        <v>81.149000000000001</v>
      </c>
      <c r="K231" s="5"/>
      <c r="L231" s="6" t="s">
        <v>306</v>
      </c>
      <c r="M231" s="24" t="s">
        <v>178</v>
      </c>
      <c r="N231" s="7">
        <f t="shared" si="593"/>
        <v>1130366.2</v>
      </c>
      <c r="O231" s="8">
        <v>269</v>
      </c>
      <c r="P231" s="25">
        <v>41258</v>
      </c>
      <c r="Q231" s="8" t="str">
        <f t="shared" si="550"/>
        <v>2DA-DIC</v>
      </c>
      <c r="R231" s="26">
        <v>0</v>
      </c>
      <c r="S231" s="41" t="s">
        <v>34</v>
      </c>
      <c r="T231" s="8" t="s">
        <v>353</v>
      </c>
      <c r="U231" s="8"/>
      <c r="V231" s="7">
        <v>565183.1</v>
      </c>
      <c r="W231" s="7">
        <f t="shared" si="657"/>
        <v>226073.24</v>
      </c>
      <c r="X231" s="7">
        <f t="shared" si="551"/>
        <v>339109.86</v>
      </c>
      <c r="Y231" s="7">
        <v>0</v>
      </c>
      <c r="Z231" s="7">
        <f t="shared" si="552"/>
        <v>226073.24</v>
      </c>
      <c r="AA231" s="148" t="str">
        <f t="shared" si="553"/>
        <v>40%</v>
      </c>
      <c r="AB231" s="148">
        <f t="shared" si="554"/>
        <v>0.6</v>
      </c>
      <c r="AC231" s="25">
        <f ca="1">TODAY()-4</f>
        <v>41118</v>
      </c>
      <c r="AD231" s="25">
        <f t="shared" ref="AD231:AE231" ca="1" si="672">TODAY()-4</f>
        <v>41118</v>
      </c>
      <c r="AE231" s="25">
        <f t="shared" ca="1" si="672"/>
        <v>41118</v>
      </c>
      <c r="AF231" s="8"/>
      <c r="AG231" s="59" t="str">
        <f t="shared" ca="1" si="556"/>
        <v>NA</v>
      </c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59" t="str">
        <f t="shared" si="605"/>
        <v>NA</v>
      </c>
      <c r="AS231" s="59" t="str">
        <f t="shared" si="606"/>
        <v/>
      </c>
      <c r="AT231" s="59"/>
      <c r="AU231" s="59" t="str">
        <f t="shared" si="534"/>
        <v>ND</v>
      </c>
      <c r="AV231" s="66"/>
      <c r="AW231" s="66"/>
      <c r="AX231" s="66"/>
      <c r="AY231" s="66"/>
      <c r="AZ231" s="8"/>
      <c r="BA231" s="8" t="s">
        <v>37</v>
      </c>
      <c r="BB231" s="8"/>
      <c r="BC231" s="8"/>
      <c r="BD231" s="8"/>
      <c r="BE231" s="8"/>
      <c r="BF231" s="8"/>
      <c r="BG231" s="8"/>
      <c r="BH231" s="8"/>
      <c r="BI231" s="8"/>
      <c r="BJ231" s="8"/>
      <c r="BK231" s="59"/>
      <c r="BL231" s="59"/>
      <c r="BM231" s="59"/>
      <c r="BN231" s="164">
        <v>0.01</v>
      </c>
      <c r="BO231" s="165">
        <f t="shared" si="557"/>
        <v>3767.8873333333336</v>
      </c>
      <c r="BP231" s="165">
        <f t="shared" ref="BP231:BQ231" si="673">BO231</f>
        <v>3767.8873333333336</v>
      </c>
      <c r="BQ231" s="165">
        <f t="shared" si="673"/>
        <v>3767.8873333333336</v>
      </c>
      <c r="BR231" s="59"/>
      <c r="BS231" s="59"/>
      <c r="BT231" s="59"/>
      <c r="BU231" s="59"/>
      <c r="BV231" s="59" t="str">
        <f t="shared" si="598"/>
        <v>ND</v>
      </c>
      <c r="BW231" s="59" t="str">
        <f t="shared" si="599"/>
        <v>ND</v>
      </c>
      <c r="BX231" s="59" t="str">
        <f t="shared" si="600"/>
        <v>ND</v>
      </c>
      <c r="BY231" s="59" t="str">
        <f t="shared" si="601"/>
        <v>ND</v>
      </c>
      <c r="BZ231" s="59" t="str">
        <f t="shared" si="536"/>
        <v>NA</v>
      </c>
      <c r="CA231" s="59" t="str">
        <f t="shared" si="537"/>
        <v/>
      </c>
      <c r="CB231" s="59" t="str">
        <f t="shared" si="538"/>
        <v>NA</v>
      </c>
      <c r="CC231" s="59" t="str">
        <f t="shared" si="539"/>
        <v/>
      </c>
      <c r="CD231" s="59" t="str">
        <f t="shared" si="540"/>
        <v>NA</v>
      </c>
      <c r="CE231" s="59" t="str">
        <f t="shared" si="541"/>
        <v/>
      </c>
      <c r="CF231" s="59" t="str">
        <f t="shared" si="542"/>
        <v>NA</v>
      </c>
      <c r="CG231" s="59" t="str">
        <f t="shared" ca="1" si="543"/>
        <v>NA</v>
      </c>
      <c r="CH231" s="59" t="str">
        <f t="shared" ca="1" si="544"/>
        <v>NA</v>
      </c>
      <c r="CI231" s="59" t="str">
        <f t="shared" ca="1" si="545"/>
        <v>HASTA 5 DIAS</v>
      </c>
      <c r="CJ231" s="59" t="str">
        <f t="shared" ca="1" si="546"/>
        <v>HASTA 5 DIAS</v>
      </c>
      <c r="CK231" s="59" t="str">
        <f t="shared" ca="1" si="547"/>
        <v>HASTA 5 DIAS</v>
      </c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>
        <f t="shared" si="559"/>
        <v>0</v>
      </c>
      <c r="DH231" s="8">
        <f t="shared" si="560"/>
        <v>0</v>
      </c>
      <c r="DI231" s="8">
        <f t="shared" si="561"/>
        <v>0</v>
      </c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59" t="str">
        <f t="shared" si="562"/>
        <v>NA</v>
      </c>
      <c r="DU231" s="59" t="str">
        <f t="shared" si="563"/>
        <v>NA</v>
      </c>
      <c r="DV231" s="59" t="str">
        <f t="shared" si="564"/>
        <v>NA</v>
      </c>
      <c r="DW231" s="59" t="str">
        <f t="shared" si="565"/>
        <v>NA</v>
      </c>
      <c r="DX231" s="59" t="str">
        <f t="shared" si="566"/>
        <v>NA</v>
      </c>
      <c r="DY231" s="59" t="str">
        <f t="shared" si="567"/>
        <v>NA</v>
      </c>
      <c r="DZ231" s="59" t="str">
        <f t="shared" si="568"/>
        <v>NA</v>
      </c>
      <c r="EA231" s="59" t="str">
        <f t="shared" si="569"/>
        <v>NA</v>
      </c>
      <c r="EB231" s="59" t="str">
        <f t="shared" si="570"/>
        <v>NA</v>
      </c>
      <c r="EC231" s="59" t="str">
        <f t="shared" si="571"/>
        <v>NA</v>
      </c>
      <c r="ED231" s="59" t="str">
        <f t="shared" si="572"/>
        <v/>
      </c>
      <c r="EE231" s="59" t="str">
        <f t="shared" si="573"/>
        <v/>
      </c>
      <c r="EF231" s="59" t="str">
        <f t="shared" si="574"/>
        <v/>
      </c>
      <c r="EG231" s="59" t="str">
        <f t="shared" si="575"/>
        <v/>
      </c>
      <c r="EH231" s="59" t="str">
        <f t="shared" si="576"/>
        <v/>
      </c>
      <c r="EI231" s="59" t="str">
        <f t="shared" si="577"/>
        <v/>
      </c>
      <c r="EJ231" s="59" t="str">
        <f t="shared" si="578"/>
        <v/>
      </c>
      <c r="EK231" s="59" t="str">
        <f t="shared" si="579"/>
        <v/>
      </c>
      <c r="EL231" s="59" t="str">
        <f t="shared" si="580"/>
        <v/>
      </c>
      <c r="EM231" s="59" t="str">
        <f t="shared" si="581"/>
        <v/>
      </c>
      <c r="EN231" s="59" t="str">
        <f t="shared" si="582"/>
        <v/>
      </c>
      <c r="EO231" s="59" t="str">
        <f t="shared" si="583"/>
        <v/>
      </c>
      <c r="EP231" s="59" t="str">
        <f t="shared" si="584"/>
        <v/>
      </c>
      <c r="EQ231" s="59" t="str">
        <f t="shared" si="585"/>
        <v/>
      </c>
      <c r="ER231" s="59" t="str">
        <f t="shared" si="586"/>
        <v/>
      </c>
      <c r="ES231" s="59" t="str">
        <f t="shared" si="587"/>
        <v/>
      </c>
      <c r="ET231" s="59" t="str">
        <f t="shared" si="588"/>
        <v/>
      </c>
      <c r="EU231" s="59" t="str">
        <f t="shared" si="589"/>
        <v/>
      </c>
      <c r="EV231" s="59" t="str">
        <f t="shared" si="590"/>
        <v/>
      </c>
      <c r="EW231" s="59" t="str">
        <f t="shared" si="591"/>
        <v/>
      </c>
      <c r="EX231" s="56">
        <f t="shared" si="548"/>
        <v>1130366.2</v>
      </c>
    </row>
    <row r="232" spans="1:154" x14ac:dyDescent="0.25">
      <c r="A232" s="2">
        <f t="shared" si="592"/>
        <v>231</v>
      </c>
      <c r="B232" s="2" t="s">
        <v>6</v>
      </c>
      <c r="C232" s="2" t="str">
        <f t="shared" si="549"/>
        <v>060110</v>
      </c>
      <c r="D232" s="2">
        <v>6</v>
      </c>
      <c r="E232" s="2">
        <v>1</v>
      </c>
      <c r="F232" s="2">
        <v>10</v>
      </c>
      <c r="G232" s="11" t="s">
        <v>11</v>
      </c>
      <c r="H232" s="4"/>
      <c r="I232" s="42" t="s">
        <v>58</v>
      </c>
      <c r="J232" s="9">
        <v>82.01</v>
      </c>
      <c r="K232" s="9"/>
      <c r="L232" s="10" t="s">
        <v>8</v>
      </c>
      <c r="M232" s="24" t="s">
        <v>178</v>
      </c>
      <c r="N232" s="7">
        <f t="shared" si="593"/>
        <v>1142638</v>
      </c>
      <c r="O232" s="8">
        <v>270</v>
      </c>
      <c r="P232" s="25">
        <v>41258</v>
      </c>
      <c r="Q232" s="8" t="str">
        <f t="shared" si="550"/>
        <v>2DA-DIC</v>
      </c>
      <c r="R232" s="26">
        <v>0</v>
      </c>
      <c r="S232" s="41" t="s">
        <v>34</v>
      </c>
      <c r="T232" s="8" t="s">
        <v>353</v>
      </c>
      <c r="U232" s="8"/>
      <c r="V232" s="7">
        <v>571319</v>
      </c>
      <c r="W232" s="7">
        <f t="shared" si="657"/>
        <v>228527.6</v>
      </c>
      <c r="X232" s="7">
        <f t="shared" si="551"/>
        <v>342791.4</v>
      </c>
      <c r="Y232" s="7">
        <v>0</v>
      </c>
      <c r="Z232" s="7">
        <f t="shared" si="552"/>
        <v>228527.6</v>
      </c>
      <c r="AA232" s="148" t="str">
        <f t="shared" si="553"/>
        <v>40%</v>
      </c>
      <c r="AB232" s="148">
        <f t="shared" si="554"/>
        <v>0.6</v>
      </c>
      <c r="AC232" s="25">
        <f ca="1">TODAY()-9</f>
        <v>41113</v>
      </c>
      <c r="AD232" s="25">
        <f t="shared" ref="AD232:AE232" ca="1" si="674">TODAY()-9</f>
        <v>41113</v>
      </c>
      <c r="AE232" s="25">
        <f t="shared" ca="1" si="674"/>
        <v>41113</v>
      </c>
      <c r="AF232" s="8"/>
      <c r="AG232" s="59" t="str">
        <f t="shared" ca="1" si="556"/>
        <v>NA</v>
      </c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59" t="str">
        <f t="shared" si="605"/>
        <v>NA</v>
      </c>
      <c r="AS232" s="59" t="str">
        <f t="shared" si="606"/>
        <v/>
      </c>
      <c r="AT232" s="59"/>
      <c r="AU232" s="59" t="str">
        <f t="shared" si="534"/>
        <v>ND</v>
      </c>
      <c r="AV232" s="66"/>
      <c r="AW232" s="66"/>
      <c r="AX232" s="66"/>
      <c r="AY232" s="66"/>
      <c r="AZ232" s="8"/>
      <c r="BA232" s="8" t="s">
        <v>37</v>
      </c>
      <c r="BB232" s="8"/>
      <c r="BC232" s="8"/>
      <c r="BD232" s="8"/>
      <c r="BE232" s="8"/>
      <c r="BF232" s="8"/>
      <c r="BG232" s="8"/>
      <c r="BH232" s="8"/>
      <c r="BI232" s="8"/>
      <c r="BJ232" s="8"/>
      <c r="BK232" s="59"/>
      <c r="BL232" s="59"/>
      <c r="BM232" s="59"/>
      <c r="BN232" s="164">
        <v>0.01</v>
      </c>
      <c r="BO232" s="165">
        <f t="shared" si="557"/>
        <v>3808.7933333333335</v>
      </c>
      <c r="BP232" s="165">
        <f t="shared" ref="BP232:BQ232" si="675">BO232</f>
        <v>3808.7933333333335</v>
      </c>
      <c r="BQ232" s="165">
        <f t="shared" si="675"/>
        <v>3808.7933333333335</v>
      </c>
      <c r="BR232" s="59"/>
      <c r="BS232" s="59"/>
      <c r="BT232" s="59"/>
      <c r="BU232" s="59"/>
      <c r="BV232" s="59" t="str">
        <f t="shared" si="598"/>
        <v>ND</v>
      </c>
      <c r="BW232" s="59" t="str">
        <f t="shared" si="599"/>
        <v>ND</v>
      </c>
      <c r="BX232" s="59" t="str">
        <f t="shared" si="600"/>
        <v>ND</v>
      </c>
      <c r="BY232" s="59" t="str">
        <f t="shared" si="601"/>
        <v>ND</v>
      </c>
      <c r="BZ232" s="59" t="str">
        <f t="shared" si="536"/>
        <v>NA</v>
      </c>
      <c r="CA232" s="59" t="str">
        <f t="shared" si="537"/>
        <v/>
      </c>
      <c r="CB232" s="59" t="str">
        <f t="shared" si="538"/>
        <v>NA</v>
      </c>
      <c r="CC232" s="59" t="str">
        <f t="shared" si="539"/>
        <v/>
      </c>
      <c r="CD232" s="59" t="str">
        <f t="shared" si="540"/>
        <v>NA</v>
      </c>
      <c r="CE232" s="59" t="str">
        <f t="shared" si="541"/>
        <v/>
      </c>
      <c r="CF232" s="59" t="str">
        <f t="shared" si="542"/>
        <v>NA</v>
      </c>
      <c r="CG232" s="59" t="str">
        <f t="shared" ca="1" si="543"/>
        <v>NA</v>
      </c>
      <c r="CH232" s="59" t="str">
        <f t="shared" ca="1" si="544"/>
        <v>NA</v>
      </c>
      <c r="CI232" s="59" t="str">
        <f t="shared" ca="1" si="545"/>
        <v>DE 6 A 10 DIAS</v>
      </c>
      <c r="CJ232" s="59" t="str">
        <f t="shared" ca="1" si="546"/>
        <v>DE 6 A 10 DIAS</v>
      </c>
      <c r="CK232" s="59" t="str">
        <f t="shared" ca="1" si="547"/>
        <v>DE 6 A 10 DIAS</v>
      </c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>
        <f t="shared" si="559"/>
        <v>0</v>
      </c>
      <c r="DH232" s="8">
        <f t="shared" si="560"/>
        <v>0</v>
      </c>
      <c r="DI232" s="8">
        <f t="shared" si="561"/>
        <v>0</v>
      </c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59" t="str">
        <f t="shared" si="562"/>
        <v>NA</v>
      </c>
      <c r="DU232" s="59" t="str">
        <f t="shared" si="563"/>
        <v>NA</v>
      </c>
      <c r="DV232" s="59" t="str">
        <f t="shared" si="564"/>
        <v>NA</v>
      </c>
      <c r="DW232" s="59" t="str">
        <f t="shared" si="565"/>
        <v>NA</v>
      </c>
      <c r="DX232" s="59" t="str">
        <f t="shared" si="566"/>
        <v>NA</v>
      </c>
      <c r="DY232" s="59" t="str">
        <f t="shared" si="567"/>
        <v>NA</v>
      </c>
      <c r="DZ232" s="59" t="str">
        <f t="shared" si="568"/>
        <v>NA</v>
      </c>
      <c r="EA232" s="59" t="str">
        <f t="shared" si="569"/>
        <v>NA</v>
      </c>
      <c r="EB232" s="59" t="str">
        <f t="shared" si="570"/>
        <v>NA</v>
      </c>
      <c r="EC232" s="59" t="str">
        <f t="shared" si="571"/>
        <v>NA</v>
      </c>
      <c r="ED232" s="59" t="str">
        <f t="shared" si="572"/>
        <v/>
      </c>
      <c r="EE232" s="59" t="str">
        <f t="shared" si="573"/>
        <v/>
      </c>
      <c r="EF232" s="59" t="str">
        <f t="shared" si="574"/>
        <v/>
      </c>
      <c r="EG232" s="59" t="str">
        <f t="shared" si="575"/>
        <v/>
      </c>
      <c r="EH232" s="59" t="str">
        <f t="shared" si="576"/>
        <v/>
      </c>
      <c r="EI232" s="59" t="str">
        <f t="shared" si="577"/>
        <v/>
      </c>
      <c r="EJ232" s="59" t="str">
        <f t="shared" si="578"/>
        <v/>
      </c>
      <c r="EK232" s="59" t="str">
        <f t="shared" si="579"/>
        <v/>
      </c>
      <c r="EL232" s="59" t="str">
        <f t="shared" si="580"/>
        <v/>
      </c>
      <c r="EM232" s="59" t="str">
        <f t="shared" si="581"/>
        <v/>
      </c>
      <c r="EN232" s="59" t="str">
        <f t="shared" si="582"/>
        <v/>
      </c>
      <c r="EO232" s="59" t="str">
        <f t="shared" si="583"/>
        <v/>
      </c>
      <c r="EP232" s="59" t="str">
        <f t="shared" si="584"/>
        <v/>
      </c>
      <c r="EQ232" s="59" t="str">
        <f t="shared" si="585"/>
        <v/>
      </c>
      <c r="ER232" s="59" t="str">
        <f t="shared" si="586"/>
        <v/>
      </c>
      <c r="ES232" s="59" t="str">
        <f t="shared" si="587"/>
        <v/>
      </c>
      <c r="ET232" s="59" t="str">
        <f t="shared" si="588"/>
        <v/>
      </c>
      <c r="EU232" s="59" t="str">
        <f t="shared" si="589"/>
        <v/>
      </c>
      <c r="EV232" s="59" t="str">
        <f t="shared" si="590"/>
        <v/>
      </c>
      <c r="EW232" s="59" t="str">
        <f t="shared" si="591"/>
        <v/>
      </c>
      <c r="EX232" s="56">
        <f t="shared" si="548"/>
        <v>1142638</v>
      </c>
    </row>
    <row r="233" spans="1:154" x14ac:dyDescent="0.25">
      <c r="A233" s="2">
        <f t="shared" si="592"/>
        <v>232</v>
      </c>
      <c r="B233" s="2" t="s">
        <v>6</v>
      </c>
      <c r="C233" s="2" t="str">
        <f t="shared" si="549"/>
        <v>060111</v>
      </c>
      <c r="D233" s="2">
        <v>6</v>
      </c>
      <c r="E233" s="2">
        <v>1</v>
      </c>
      <c r="F233" s="2">
        <v>11</v>
      </c>
      <c r="G233" s="11" t="s">
        <v>7</v>
      </c>
      <c r="H233" s="4"/>
      <c r="I233" s="42" t="s">
        <v>58</v>
      </c>
      <c r="J233" s="9">
        <v>147.453</v>
      </c>
      <c r="K233" s="9"/>
      <c r="L233" s="10" t="s">
        <v>8</v>
      </c>
      <c r="M233" s="24" t="s">
        <v>178</v>
      </c>
      <c r="N233" s="7">
        <f t="shared" si="593"/>
        <v>1391321.4</v>
      </c>
      <c r="O233" s="8">
        <v>271</v>
      </c>
      <c r="P233" s="25">
        <v>41258</v>
      </c>
      <c r="Q233" s="8" t="str">
        <f t="shared" si="550"/>
        <v>2DA-DIC</v>
      </c>
      <c r="R233" s="26">
        <v>0</v>
      </c>
      <c r="S233" s="41" t="s">
        <v>34</v>
      </c>
      <c r="T233" s="8" t="s">
        <v>353</v>
      </c>
      <c r="U233" s="8"/>
      <c r="V233" s="7">
        <v>695660.7</v>
      </c>
      <c r="W233" s="7">
        <f t="shared" si="657"/>
        <v>278264.27999999997</v>
      </c>
      <c r="X233" s="7">
        <f t="shared" si="551"/>
        <v>417396.42</v>
      </c>
      <c r="Y233" s="7">
        <v>0</v>
      </c>
      <c r="Z233" s="7">
        <f t="shared" si="552"/>
        <v>278264.27999999997</v>
      </c>
      <c r="AA233" s="148" t="str">
        <f t="shared" si="553"/>
        <v>40%</v>
      </c>
      <c r="AB233" s="148">
        <f t="shared" si="554"/>
        <v>0.6</v>
      </c>
      <c r="AC233" s="25">
        <f ca="1">TODAY()-14</f>
        <v>41108</v>
      </c>
      <c r="AD233" s="25">
        <f t="shared" ref="AD233:AE233" ca="1" si="676">TODAY()-14</f>
        <v>41108</v>
      </c>
      <c r="AE233" s="25">
        <f t="shared" ca="1" si="676"/>
        <v>41108</v>
      </c>
      <c r="AF233" s="8"/>
      <c r="AG233" s="59" t="str">
        <f t="shared" ca="1" si="556"/>
        <v>NA</v>
      </c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59" t="str">
        <f t="shared" si="605"/>
        <v>NA</v>
      </c>
      <c r="AS233" s="59" t="str">
        <f t="shared" si="606"/>
        <v/>
      </c>
      <c r="AT233" s="59"/>
      <c r="AU233" s="59" t="str">
        <f t="shared" si="534"/>
        <v>ND</v>
      </c>
      <c r="AV233" s="66"/>
      <c r="AW233" s="66"/>
      <c r="AX233" s="66"/>
      <c r="AY233" s="66"/>
      <c r="AZ233" s="8"/>
      <c r="BA233" s="8" t="s">
        <v>37</v>
      </c>
      <c r="BB233" s="8"/>
      <c r="BC233" s="8"/>
      <c r="BD233" s="8"/>
      <c r="BE233" s="8"/>
      <c r="BF233" s="8"/>
      <c r="BG233" s="8"/>
      <c r="BH233" s="8"/>
      <c r="BI233" s="8"/>
      <c r="BJ233" s="8"/>
      <c r="BK233" s="59"/>
      <c r="BL233" s="59"/>
      <c r="BM233" s="59"/>
      <c r="BN233" s="164">
        <v>0.01</v>
      </c>
      <c r="BO233" s="165">
        <f t="shared" si="557"/>
        <v>4637.7380000000003</v>
      </c>
      <c r="BP233" s="165">
        <f t="shared" ref="BP233:BQ233" si="677">BO233</f>
        <v>4637.7380000000003</v>
      </c>
      <c r="BQ233" s="165">
        <f t="shared" si="677"/>
        <v>4637.7380000000003</v>
      </c>
      <c r="BR233" s="59"/>
      <c r="BS233" s="59"/>
      <c r="BT233" s="59"/>
      <c r="BU233" s="59"/>
      <c r="BV233" s="59" t="str">
        <f t="shared" si="598"/>
        <v>ND</v>
      </c>
      <c r="BW233" s="59" t="str">
        <f t="shared" si="599"/>
        <v>ND</v>
      </c>
      <c r="BX233" s="59" t="str">
        <f t="shared" si="600"/>
        <v>ND</v>
      </c>
      <c r="BY233" s="59" t="str">
        <f t="shared" si="601"/>
        <v>ND</v>
      </c>
      <c r="BZ233" s="59" t="str">
        <f t="shared" si="536"/>
        <v>NA</v>
      </c>
      <c r="CA233" s="59" t="str">
        <f t="shared" si="537"/>
        <v/>
      </c>
      <c r="CB233" s="59" t="str">
        <f t="shared" si="538"/>
        <v>NA</v>
      </c>
      <c r="CC233" s="59" t="str">
        <f t="shared" si="539"/>
        <v/>
      </c>
      <c r="CD233" s="59" t="str">
        <f t="shared" si="540"/>
        <v>NA</v>
      </c>
      <c r="CE233" s="59" t="str">
        <f t="shared" si="541"/>
        <v/>
      </c>
      <c r="CF233" s="59" t="str">
        <f t="shared" si="542"/>
        <v>NA</v>
      </c>
      <c r="CG233" s="59" t="str">
        <f t="shared" ca="1" si="543"/>
        <v>NA</v>
      </c>
      <c r="CH233" s="59" t="str">
        <f t="shared" ca="1" si="544"/>
        <v>NA</v>
      </c>
      <c r="CI233" s="59" t="str">
        <f t="shared" ca="1" si="545"/>
        <v>DE 11 A 15 DIAS</v>
      </c>
      <c r="CJ233" s="59" t="str">
        <f t="shared" ca="1" si="546"/>
        <v>DE 11 A 15 DIAS</v>
      </c>
      <c r="CK233" s="59" t="str">
        <f t="shared" ca="1" si="547"/>
        <v>DE 11 A 15 DIAS</v>
      </c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>
        <f t="shared" si="559"/>
        <v>0</v>
      </c>
      <c r="DH233" s="8">
        <f t="shared" si="560"/>
        <v>0</v>
      </c>
      <c r="DI233" s="8">
        <f t="shared" si="561"/>
        <v>0</v>
      </c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59" t="str">
        <f t="shared" si="562"/>
        <v>NA</v>
      </c>
      <c r="DU233" s="59" t="str">
        <f t="shared" si="563"/>
        <v>NA</v>
      </c>
      <c r="DV233" s="59" t="str">
        <f t="shared" si="564"/>
        <v>NA</v>
      </c>
      <c r="DW233" s="59" t="str">
        <f t="shared" si="565"/>
        <v>NA</v>
      </c>
      <c r="DX233" s="59" t="str">
        <f t="shared" si="566"/>
        <v>NA</v>
      </c>
      <c r="DY233" s="59" t="str">
        <f t="shared" si="567"/>
        <v>NA</v>
      </c>
      <c r="DZ233" s="59" t="str">
        <f t="shared" si="568"/>
        <v>NA</v>
      </c>
      <c r="EA233" s="59" t="str">
        <f t="shared" si="569"/>
        <v>NA</v>
      </c>
      <c r="EB233" s="59" t="str">
        <f t="shared" si="570"/>
        <v>NA</v>
      </c>
      <c r="EC233" s="59" t="str">
        <f t="shared" si="571"/>
        <v>NA</v>
      </c>
      <c r="ED233" s="59" t="str">
        <f t="shared" si="572"/>
        <v/>
      </c>
      <c r="EE233" s="59" t="str">
        <f t="shared" si="573"/>
        <v/>
      </c>
      <c r="EF233" s="59" t="str">
        <f t="shared" si="574"/>
        <v/>
      </c>
      <c r="EG233" s="59" t="str">
        <f t="shared" si="575"/>
        <v/>
      </c>
      <c r="EH233" s="59" t="str">
        <f t="shared" si="576"/>
        <v/>
      </c>
      <c r="EI233" s="59" t="str">
        <f t="shared" si="577"/>
        <v/>
      </c>
      <c r="EJ233" s="59" t="str">
        <f t="shared" si="578"/>
        <v/>
      </c>
      <c r="EK233" s="59" t="str">
        <f t="shared" si="579"/>
        <v/>
      </c>
      <c r="EL233" s="59" t="str">
        <f t="shared" si="580"/>
        <v/>
      </c>
      <c r="EM233" s="59" t="str">
        <f t="shared" si="581"/>
        <v/>
      </c>
      <c r="EN233" s="59" t="str">
        <f t="shared" si="582"/>
        <v/>
      </c>
      <c r="EO233" s="59" t="str">
        <f t="shared" si="583"/>
        <v/>
      </c>
      <c r="EP233" s="59" t="str">
        <f t="shared" si="584"/>
        <v/>
      </c>
      <c r="EQ233" s="59" t="str">
        <f t="shared" si="585"/>
        <v/>
      </c>
      <c r="ER233" s="59" t="str">
        <f t="shared" si="586"/>
        <v/>
      </c>
      <c r="ES233" s="59" t="str">
        <f t="shared" si="587"/>
        <v/>
      </c>
      <c r="ET233" s="59" t="str">
        <f t="shared" si="588"/>
        <v/>
      </c>
      <c r="EU233" s="59" t="str">
        <f t="shared" si="589"/>
        <v/>
      </c>
      <c r="EV233" s="59" t="str">
        <f t="shared" si="590"/>
        <v/>
      </c>
      <c r="EW233" s="59" t="str">
        <f t="shared" si="591"/>
        <v/>
      </c>
      <c r="EX233" s="56">
        <f t="shared" si="548"/>
        <v>1391321.4</v>
      </c>
    </row>
    <row r="234" spans="1:154" x14ac:dyDescent="0.25">
      <c r="A234" s="2">
        <f t="shared" si="592"/>
        <v>233</v>
      </c>
      <c r="B234" s="2" t="s">
        <v>6</v>
      </c>
      <c r="C234" s="2" t="str">
        <f t="shared" si="549"/>
        <v>060112</v>
      </c>
      <c r="D234" s="2">
        <v>6</v>
      </c>
      <c r="E234" s="2">
        <v>1</v>
      </c>
      <c r="F234" s="2">
        <v>12</v>
      </c>
      <c r="G234" s="11" t="s">
        <v>7</v>
      </c>
      <c r="H234" s="4"/>
      <c r="I234" s="42" t="s">
        <v>58</v>
      </c>
      <c r="J234" s="9">
        <v>91.872</v>
      </c>
      <c r="K234" s="5"/>
      <c r="L234" s="6" t="s">
        <v>306</v>
      </c>
      <c r="M234" s="24" t="s">
        <v>178</v>
      </c>
      <c r="N234" s="7">
        <f t="shared" si="593"/>
        <v>1171113.6000000001</v>
      </c>
      <c r="O234" s="8">
        <v>272</v>
      </c>
      <c r="P234" s="25">
        <v>41258</v>
      </c>
      <c r="Q234" s="8" t="str">
        <f t="shared" si="550"/>
        <v>2DA-DIC</v>
      </c>
      <c r="R234" s="26">
        <v>0</v>
      </c>
      <c r="S234" s="41" t="s">
        <v>34</v>
      </c>
      <c r="T234" s="8" t="s">
        <v>353</v>
      </c>
      <c r="U234" s="8"/>
      <c r="V234" s="7">
        <v>585556.80000000005</v>
      </c>
      <c r="W234" s="7">
        <f>+V234*0.2</f>
        <v>117111.36000000002</v>
      </c>
      <c r="X234" s="7">
        <f t="shared" si="551"/>
        <v>468445.44000000006</v>
      </c>
      <c r="Y234" s="7">
        <v>0</v>
      </c>
      <c r="Z234" s="7">
        <f t="shared" si="552"/>
        <v>117111.36000000002</v>
      </c>
      <c r="AA234" s="148" t="str">
        <f t="shared" si="553"/>
        <v>20%</v>
      </c>
      <c r="AB234" s="148">
        <f t="shared" si="554"/>
        <v>0.8</v>
      </c>
      <c r="AC234" s="25">
        <f ca="1">TODAY()-19</f>
        <v>41103</v>
      </c>
      <c r="AD234" s="25">
        <f t="shared" ref="AD234:AE234" ca="1" si="678">TODAY()-19</f>
        <v>41103</v>
      </c>
      <c r="AE234" s="25">
        <f t="shared" ca="1" si="678"/>
        <v>41103</v>
      </c>
      <c r="AF234" s="8"/>
      <c r="AG234" s="59" t="str">
        <f t="shared" ca="1" si="556"/>
        <v>NA</v>
      </c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59" t="str">
        <f t="shared" si="605"/>
        <v>NA</v>
      </c>
      <c r="AS234" s="59" t="str">
        <f t="shared" si="606"/>
        <v/>
      </c>
      <c r="AT234" s="59"/>
      <c r="AU234" s="59" t="str">
        <f t="shared" si="534"/>
        <v>ND</v>
      </c>
      <c r="AV234" s="66"/>
      <c r="AW234" s="66"/>
      <c r="AX234" s="66"/>
      <c r="AY234" s="66"/>
      <c r="AZ234" s="8"/>
      <c r="BA234" s="8" t="s">
        <v>37</v>
      </c>
      <c r="BB234" s="8"/>
      <c r="BC234" s="8"/>
      <c r="BD234" s="8"/>
      <c r="BE234" s="8"/>
      <c r="BF234" s="8"/>
      <c r="BG234" s="8"/>
      <c r="BH234" s="8"/>
      <c r="BI234" s="8"/>
      <c r="BJ234" s="8"/>
      <c r="BK234" s="59"/>
      <c r="BL234" s="59"/>
      <c r="BM234" s="59"/>
      <c r="BN234" s="164">
        <v>0.01</v>
      </c>
      <c r="BO234" s="165">
        <f t="shared" si="557"/>
        <v>3903.712</v>
      </c>
      <c r="BP234" s="165">
        <f t="shared" ref="BP234:BQ234" si="679">BO234</f>
        <v>3903.712</v>
      </c>
      <c r="BQ234" s="165">
        <f t="shared" si="679"/>
        <v>3903.712</v>
      </c>
      <c r="BR234" s="59"/>
      <c r="BS234" s="59"/>
      <c r="BT234" s="59"/>
      <c r="BU234" s="59"/>
      <c r="BV234" s="59" t="str">
        <f t="shared" si="598"/>
        <v>ND</v>
      </c>
      <c r="BW234" s="59" t="str">
        <f t="shared" si="599"/>
        <v>ND</v>
      </c>
      <c r="BX234" s="59" t="str">
        <f t="shared" si="600"/>
        <v>ND</v>
      </c>
      <c r="BY234" s="59" t="str">
        <f t="shared" si="601"/>
        <v>ND</v>
      </c>
      <c r="BZ234" s="59" t="str">
        <f t="shared" si="536"/>
        <v>NA</v>
      </c>
      <c r="CA234" s="59" t="str">
        <f t="shared" si="537"/>
        <v/>
      </c>
      <c r="CB234" s="59" t="str">
        <f t="shared" si="538"/>
        <v>NA</v>
      </c>
      <c r="CC234" s="59" t="str">
        <f t="shared" si="539"/>
        <v/>
      </c>
      <c r="CD234" s="59" t="str">
        <f t="shared" si="540"/>
        <v>NA</v>
      </c>
      <c r="CE234" s="59" t="str">
        <f t="shared" si="541"/>
        <v/>
      </c>
      <c r="CF234" s="59" t="str">
        <f t="shared" si="542"/>
        <v>NA</v>
      </c>
      <c r="CG234" s="59" t="str">
        <f t="shared" ca="1" si="543"/>
        <v>NA</v>
      </c>
      <c r="CH234" s="59" t="str">
        <f t="shared" ca="1" si="544"/>
        <v>NA</v>
      </c>
      <c r="CI234" s="59" t="str">
        <f t="shared" ca="1" si="545"/>
        <v>DE 16 A 20 DIAS</v>
      </c>
      <c r="CJ234" s="59" t="str">
        <f t="shared" ca="1" si="546"/>
        <v>DE 16 A 20 DIAS</v>
      </c>
      <c r="CK234" s="59" t="str">
        <f t="shared" ca="1" si="547"/>
        <v>DE 16 A 20 DIAS</v>
      </c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>
        <f t="shared" si="559"/>
        <v>0</v>
      </c>
      <c r="DH234" s="8">
        <f t="shared" si="560"/>
        <v>0</v>
      </c>
      <c r="DI234" s="8">
        <f t="shared" si="561"/>
        <v>0</v>
      </c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59" t="str">
        <f t="shared" si="562"/>
        <v>NA</v>
      </c>
      <c r="DU234" s="59" t="str">
        <f t="shared" si="563"/>
        <v>NA</v>
      </c>
      <c r="DV234" s="59" t="str">
        <f t="shared" si="564"/>
        <v>NA</v>
      </c>
      <c r="DW234" s="59" t="str">
        <f t="shared" si="565"/>
        <v>NA</v>
      </c>
      <c r="DX234" s="59" t="str">
        <f t="shared" si="566"/>
        <v>NA</v>
      </c>
      <c r="DY234" s="59" t="str">
        <f t="shared" si="567"/>
        <v>NA</v>
      </c>
      <c r="DZ234" s="59" t="str">
        <f t="shared" si="568"/>
        <v>NA</v>
      </c>
      <c r="EA234" s="59" t="str">
        <f t="shared" si="569"/>
        <v>NA</v>
      </c>
      <c r="EB234" s="59" t="str">
        <f t="shared" si="570"/>
        <v>NA</v>
      </c>
      <c r="EC234" s="59" t="str">
        <f t="shared" si="571"/>
        <v>NA</v>
      </c>
      <c r="ED234" s="59" t="str">
        <f t="shared" si="572"/>
        <v/>
      </c>
      <c r="EE234" s="59" t="str">
        <f t="shared" si="573"/>
        <v/>
      </c>
      <c r="EF234" s="59" t="str">
        <f t="shared" si="574"/>
        <v/>
      </c>
      <c r="EG234" s="59" t="str">
        <f t="shared" si="575"/>
        <v/>
      </c>
      <c r="EH234" s="59" t="str">
        <f t="shared" si="576"/>
        <v/>
      </c>
      <c r="EI234" s="59" t="str">
        <f t="shared" si="577"/>
        <v/>
      </c>
      <c r="EJ234" s="59" t="str">
        <f t="shared" si="578"/>
        <v/>
      </c>
      <c r="EK234" s="59" t="str">
        <f t="shared" si="579"/>
        <v/>
      </c>
      <c r="EL234" s="59" t="str">
        <f t="shared" si="580"/>
        <v/>
      </c>
      <c r="EM234" s="59" t="str">
        <f t="shared" si="581"/>
        <v/>
      </c>
      <c r="EN234" s="59" t="str">
        <f t="shared" si="582"/>
        <v/>
      </c>
      <c r="EO234" s="59" t="str">
        <f t="shared" si="583"/>
        <v/>
      </c>
      <c r="EP234" s="59" t="str">
        <f t="shared" si="584"/>
        <v/>
      </c>
      <c r="EQ234" s="59" t="str">
        <f t="shared" si="585"/>
        <v/>
      </c>
      <c r="ER234" s="59" t="str">
        <f t="shared" si="586"/>
        <v/>
      </c>
      <c r="ES234" s="59" t="str">
        <f t="shared" si="587"/>
        <v/>
      </c>
      <c r="ET234" s="59" t="str">
        <f t="shared" si="588"/>
        <v/>
      </c>
      <c r="EU234" s="59" t="str">
        <f t="shared" si="589"/>
        <v/>
      </c>
      <c r="EV234" s="59" t="str">
        <f t="shared" si="590"/>
        <v/>
      </c>
      <c r="EW234" s="59" t="str">
        <f t="shared" si="591"/>
        <v/>
      </c>
      <c r="EX234" s="56">
        <f t="shared" si="548"/>
        <v>1171113.6000000001</v>
      </c>
    </row>
    <row r="235" spans="1:154" x14ac:dyDescent="0.25">
      <c r="A235" s="2"/>
      <c r="B235" s="2"/>
      <c r="C235" s="2"/>
      <c r="D235" s="2"/>
      <c r="E235" s="2"/>
      <c r="F235" s="2"/>
      <c r="G235" s="11"/>
      <c r="H235" s="4"/>
      <c r="I235" s="4"/>
      <c r="J235" s="9"/>
      <c r="K235" s="9"/>
      <c r="L235" s="10"/>
      <c r="M235" s="24"/>
      <c r="N235" s="7"/>
      <c r="O235" s="8"/>
      <c r="P235" s="25"/>
      <c r="Q235" s="8"/>
      <c r="R235" s="26"/>
      <c r="S235" s="8"/>
      <c r="T235" s="8"/>
      <c r="U235" s="8"/>
      <c r="V235" s="7"/>
      <c r="W235" s="7"/>
      <c r="X235" s="7"/>
      <c r="Y235" s="7"/>
      <c r="Z235" s="7"/>
      <c r="AA235" s="148"/>
      <c r="AB235" s="148"/>
      <c r="AC235" s="25">
        <f ca="1">TODAY()-25</f>
        <v>41097</v>
      </c>
      <c r="AD235" s="25">
        <f t="shared" ref="AD235:AE235" ca="1" si="680">TODAY()-25</f>
        <v>41097</v>
      </c>
      <c r="AE235" s="25">
        <f t="shared" ca="1" si="680"/>
        <v>41097</v>
      </c>
      <c r="AF235" s="25">
        <v>41043</v>
      </c>
      <c r="AG235" s="59" t="str">
        <f t="shared" ca="1" si="556"/>
        <v>MAYOR A 2 MESES</v>
      </c>
      <c r="AH235" s="8" t="s">
        <v>123</v>
      </c>
      <c r="AI235" s="8"/>
      <c r="AJ235" s="8"/>
      <c r="AK235" s="8"/>
      <c r="AL235" s="8"/>
      <c r="AM235" s="8"/>
      <c r="AN235" s="8"/>
      <c r="AO235" s="8"/>
      <c r="AP235" s="8"/>
      <c r="AQ235" s="8"/>
      <c r="AR235" s="59" t="str">
        <f t="shared" si="605"/>
        <v>SEM 20</v>
      </c>
      <c r="AS235" s="59" t="str">
        <f t="shared" si="606"/>
        <v>MAY</v>
      </c>
      <c r="AT235" s="59">
        <v>14500</v>
      </c>
      <c r="AU235" s="59" t="str">
        <f t="shared" si="534"/>
        <v>ENTRE 12 Y 18 MIL</v>
      </c>
      <c r="AV235" s="66" t="s">
        <v>70</v>
      </c>
      <c r="AW235" s="66" t="s">
        <v>77</v>
      </c>
      <c r="AX235" s="66" t="s">
        <v>79</v>
      </c>
      <c r="AY235" s="66" t="s">
        <v>175</v>
      </c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59"/>
      <c r="BL235" s="59"/>
      <c r="BM235" s="59"/>
      <c r="BN235" s="164"/>
      <c r="BO235" s="165"/>
      <c r="BP235" s="165"/>
      <c r="BQ235" s="165"/>
      <c r="BR235" s="59"/>
      <c r="BS235" s="59"/>
      <c r="BT235" s="59"/>
      <c r="BU235" s="59"/>
      <c r="BV235" s="59"/>
      <c r="BW235" s="59"/>
      <c r="BX235" s="59"/>
      <c r="BY235" s="59"/>
      <c r="BZ235" s="59" t="str">
        <f t="shared" si="536"/>
        <v>NA</v>
      </c>
      <c r="CA235" s="59" t="str">
        <f t="shared" si="537"/>
        <v/>
      </c>
      <c r="CB235" s="59" t="str">
        <f t="shared" si="538"/>
        <v>NA</v>
      </c>
      <c r="CC235" s="59" t="str">
        <f t="shared" si="539"/>
        <v/>
      </c>
      <c r="CD235" s="59" t="str">
        <f t="shared" si="540"/>
        <v>NA</v>
      </c>
      <c r="CE235" s="59" t="str">
        <f t="shared" si="541"/>
        <v/>
      </c>
      <c r="CF235" s="59"/>
      <c r="CG235" s="59"/>
      <c r="CH235" s="59"/>
      <c r="CI235" s="59" t="str">
        <f t="shared" ca="1" si="545"/>
        <v>DE 21 A 25 DIAS</v>
      </c>
      <c r="CJ235" s="59" t="str">
        <f t="shared" ca="1" si="546"/>
        <v>DE 21 A 25 DIAS</v>
      </c>
      <c r="CK235" s="59" t="str">
        <f t="shared" ca="1" si="547"/>
        <v>DE 21 A 25 DIAS</v>
      </c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>
        <f t="shared" si="559"/>
        <v>0</v>
      </c>
      <c r="DH235" s="8">
        <f t="shared" si="560"/>
        <v>0</v>
      </c>
      <c r="DI235" s="8">
        <f t="shared" si="561"/>
        <v>0</v>
      </c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56">
        <f t="shared" si="548"/>
        <v>0</v>
      </c>
    </row>
    <row r="236" spans="1:154" x14ac:dyDescent="0.25">
      <c r="A236" s="2"/>
      <c r="B236" s="2"/>
      <c r="C236" s="2"/>
      <c r="D236" s="2"/>
      <c r="E236" s="2"/>
      <c r="F236" s="2"/>
      <c r="G236" s="11"/>
      <c r="H236" s="4"/>
      <c r="I236" s="4"/>
      <c r="J236" s="9"/>
      <c r="K236" s="9"/>
      <c r="L236" s="10"/>
      <c r="M236" s="24"/>
      <c r="N236" s="7"/>
      <c r="O236" s="8"/>
      <c r="P236" s="25"/>
      <c r="Q236" s="8"/>
      <c r="R236" s="26"/>
      <c r="S236" s="8"/>
      <c r="T236" s="8"/>
      <c r="U236" s="8"/>
      <c r="V236" s="7"/>
      <c r="W236" s="7"/>
      <c r="X236" s="7"/>
      <c r="Y236" s="7"/>
      <c r="Z236" s="7"/>
      <c r="AA236" s="148"/>
      <c r="AB236" s="148"/>
      <c r="AC236" s="25">
        <f ca="1">TODAY()-29</f>
        <v>41093</v>
      </c>
      <c r="AD236" s="25">
        <f t="shared" ref="AD236:AE236" ca="1" si="681">TODAY()-29</f>
        <v>41093</v>
      </c>
      <c r="AE236" s="25">
        <f t="shared" ca="1" si="681"/>
        <v>41093</v>
      </c>
      <c r="AF236" s="25">
        <v>41067</v>
      </c>
      <c r="AG236" s="59" t="str">
        <f t="shared" ca="1" si="556"/>
        <v>8VA SEM</v>
      </c>
      <c r="AH236" s="8" t="s">
        <v>134</v>
      </c>
      <c r="AI236" s="8"/>
      <c r="AJ236" s="8"/>
      <c r="AK236" s="8"/>
      <c r="AL236" s="8"/>
      <c r="AM236" s="8"/>
      <c r="AN236" s="8"/>
      <c r="AO236" s="8"/>
      <c r="AP236" s="8"/>
      <c r="AQ236" s="8"/>
      <c r="AR236" s="59" t="str">
        <f t="shared" si="605"/>
        <v>SEM 23</v>
      </c>
      <c r="AS236" s="59" t="str">
        <f t="shared" si="606"/>
        <v>JUN</v>
      </c>
      <c r="AT236" s="59">
        <v>17000</v>
      </c>
      <c r="AU236" s="59" t="str">
        <f t="shared" si="534"/>
        <v>ENTRE 12 Y 18 MIL</v>
      </c>
      <c r="AV236" s="66" t="s">
        <v>73</v>
      </c>
      <c r="AW236" s="66" t="s">
        <v>76</v>
      </c>
      <c r="AX236" s="66" t="s">
        <v>85</v>
      </c>
      <c r="AY236" s="66" t="s">
        <v>175</v>
      </c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59"/>
      <c r="BL236" s="59"/>
      <c r="BM236" s="59"/>
      <c r="BN236" s="164"/>
      <c r="BO236" s="165"/>
      <c r="BP236" s="165"/>
      <c r="BQ236" s="165"/>
      <c r="BR236" s="59"/>
      <c r="BS236" s="59"/>
      <c r="BT236" s="59"/>
      <c r="BU236" s="59"/>
      <c r="BV236" s="59"/>
      <c r="BW236" s="59"/>
      <c r="BX236" s="59"/>
      <c r="BY236" s="59"/>
      <c r="BZ236" s="59" t="str">
        <f t="shared" si="536"/>
        <v>NA</v>
      </c>
      <c r="CA236" s="59" t="str">
        <f t="shared" si="537"/>
        <v/>
      </c>
      <c r="CB236" s="59" t="str">
        <f t="shared" si="538"/>
        <v>NA</v>
      </c>
      <c r="CC236" s="59" t="str">
        <f t="shared" si="539"/>
        <v/>
      </c>
      <c r="CD236" s="59" t="str">
        <f t="shared" si="540"/>
        <v>NA</v>
      </c>
      <c r="CE236" s="59" t="str">
        <f t="shared" si="541"/>
        <v/>
      </c>
      <c r="CF236" s="59"/>
      <c r="CG236" s="59"/>
      <c r="CH236" s="59"/>
      <c r="CI236" s="59" t="str">
        <f t="shared" ca="1" si="545"/>
        <v>DE 26 A 29 DIAS</v>
      </c>
      <c r="CJ236" s="59" t="str">
        <f t="shared" ca="1" si="546"/>
        <v>DE 26 A 29 DIAS</v>
      </c>
      <c r="CK236" s="59" t="str">
        <f t="shared" ca="1" si="547"/>
        <v>DE 26 A 29 DIAS</v>
      </c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>
        <f t="shared" si="559"/>
        <v>0</v>
      </c>
      <c r="DH236" s="8">
        <f t="shared" si="560"/>
        <v>0</v>
      </c>
      <c r="DI236" s="8">
        <f t="shared" si="561"/>
        <v>0</v>
      </c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56">
        <f t="shared" si="548"/>
        <v>0</v>
      </c>
    </row>
    <row r="237" spans="1:154" x14ac:dyDescent="0.25">
      <c r="A237" s="2"/>
      <c r="B237" s="2"/>
      <c r="C237" s="2"/>
      <c r="D237" s="2"/>
      <c r="E237" s="2"/>
      <c r="F237" s="2"/>
      <c r="G237" s="11"/>
      <c r="H237" s="4"/>
      <c r="I237" s="4"/>
      <c r="J237" s="9"/>
      <c r="K237" s="9"/>
      <c r="L237" s="10"/>
      <c r="M237" s="24"/>
      <c r="N237" s="7"/>
      <c r="O237" s="8"/>
      <c r="P237" s="25"/>
      <c r="Q237" s="8"/>
      <c r="R237" s="26"/>
      <c r="S237" s="8"/>
      <c r="T237" s="8"/>
      <c r="U237" s="8"/>
      <c r="V237" s="7"/>
      <c r="W237" s="7"/>
      <c r="X237" s="7"/>
      <c r="Y237" s="7"/>
      <c r="Z237" s="7"/>
      <c r="AA237" s="148"/>
      <c r="AB237" s="148"/>
      <c r="AC237" s="25">
        <f ca="1">TODAY()-30</f>
        <v>41092</v>
      </c>
      <c r="AD237" s="25">
        <f t="shared" ref="AD237:AE237" ca="1" si="682">TODAY()-30</f>
        <v>41092</v>
      </c>
      <c r="AE237" s="25">
        <f t="shared" ca="1" si="682"/>
        <v>41092</v>
      </c>
      <c r="AF237" s="25">
        <v>41059</v>
      </c>
      <c r="AG237" s="59" t="str">
        <f t="shared" ca="1" si="556"/>
        <v>MAYOR A 2 MESES</v>
      </c>
      <c r="AH237" s="8" t="s">
        <v>135</v>
      </c>
      <c r="AI237" s="8"/>
      <c r="AJ237" s="8"/>
      <c r="AK237" s="8"/>
      <c r="AL237" s="8"/>
      <c r="AM237" s="8"/>
      <c r="AN237" s="8"/>
      <c r="AO237" s="8"/>
      <c r="AP237" s="8"/>
      <c r="AQ237" s="8"/>
      <c r="AR237" s="59" t="str">
        <f t="shared" si="605"/>
        <v>SEM 22</v>
      </c>
      <c r="AS237" s="59" t="str">
        <f t="shared" si="606"/>
        <v>MAY</v>
      </c>
      <c r="AT237" s="59">
        <v>24000</v>
      </c>
      <c r="AU237" s="59" t="str">
        <f t="shared" si="534"/>
        <v>ENTRE 18 Y 25 MIL</v>
      </c>
      <c r="AV237" s="66" t="s">
        <v>73</v>
      </c>
      <c r="AW237" s="66" t="s">
        <v>78</v>
      </c>
      <c r="AX237" s="66" t="s">
        <v>80</v>
      </c>
      <c r="AY237" s="66" t="s">
        <v>173</v>
      </c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59"/>
      <c r="BL237" s="59"/>
      <c r="BM237" s="59"/>
      <c r="BN237" s="164"/>
      <c r="BO237" s="165"/>
      <c r="BP237" s="165"/>
      <c r="BQ237" s="165"/>
      <c r="BR237" s="59"/>
      <c r="BS237" s="59"/>
      <c r="BT237" s="59"/>
      <c r="BU237" s="59"/>
      <c r="BV237" s="59"/>
      <c r="BW237" s="59"/>
      <c r="BX237" s="59"/>
      <c r="BY237" s="59"/>
      <c r="BZ237" s="59" t="str">
        <f t="shared" si="536"/>
        <v>NA</v>
      </c>
      <c r="CA237" s="59" t="str">
        <f t="shared" si="537"/>
        <v/>
      </c>
      <c r="CB237" s="59" t="str">
        <f t="shared" si="538"/>
        <v>NA</v>
      </c>
      <c r="CC237" s="59" t="str">
        <f t="shared" si="539"/>
        <v/>
      </c>
      <c r="CD237" s="59" t="str">
        <f t="shared" si="540"/>
        <v>NA</v>
      </c>
      <c r="CE237" s="59" t="str">
        <f t="shared" si="541"/>
        <v/>
      </c>
      <c r="CF237" s="59"/>
      <c r="CG237" s="59"/>
      <c r="CH237" s="59"/>
      <c r="CI237" s="59" t="str">
        <f t="shared" ca="1" si="545"/>
        <v>30 DIAS</v>
      </c>
      <c r="CJ237" s="59" t="str">
        <f t="shared" ca="1" si="546"/>
        <v>30 DIAS</v>
      </c>
      <c r="CK237" s="59" t="str">
        <f t="shared" ca="1" si="547"/>
        <v>30 DIAS</v>
      </c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>
        <f t="shared" si="559"/>
        <v>0</v>
      </c>
      <c r="DH237" s="8">
        <f t="shared" si="560"/>
        <v>0</v>
      </c>
      <c r="DI237" s="8">
        <f t="shared" si="561"/>
        <v>0</v>
      </c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56">
        <f t="shared" si="548"/>
        <v>0</v>
      </c>
    </row>
    <row r="238" spans="1:154" x14ac:dyDescent="0.25">
      <c r="A238" s="2"/>
      <c r="B238" s="2"/>
      <c r="C238" s="2"/>
      <c r="D238" s="2"/>
      <c r="E238" s="2"/>
      <c r="F238" s="2"/>
      <c r="G238" s="11"/>
      <c r="H238" s="4"/>
      <c r="I238" s="4"/>
      <c r="J238" s="9"/>
      <c r="K238" s="9"/>
      <c r="L238" s="10"/>
      <c r="M238" s="24"/>
      <c r="N238" s="7"/>
      <c r="O238" s="8"/>
      <c r="P238" s="25"/>
      <c r="Q238" s="8"/>
      <c r="R238" s="26"/>
      <c r="S238" s="8"/>
      <c r="T238" s="8"/>
      <c r="U238" s="8"/>
      <c r="V238" s="7"/>
      <c r="W238" s="7"/>
      <c r="X238" s="7"/>
      <c r="Y238" s="7"/>
      <c r="Z238" s="7"/>
      <c r="AA238" s="148"/>
      <c r="AB238" s="148"/>
      <c r="AC238" s="25">
        <f ca="1">TODAY()-34</f>
        <v>41088</v>
      </c>
      <c r="AD238" s="25">
        <f t="shared" ref="AD238:AE238" ca="1" si="683">TODAY()-34</f>
        <v>41088</v>
      </c>
      <c r="AE238" s="25">
        <f t="shared" ca="1" si="683"/>
        <v>41088</v>
      </c>
      <c r="AF238" s="25">
        <v>41043</v>
      </c>
      <c r="AG238" s="59" t="str">
        <f t="shared" ca="1" si="556"/>
        <v>MAYOR A 2 MESES</v>
      </c>
      <c r="AH238" s="8" t="s">
        <v>136</v>
      </c>
      <c r="AI238" s="8"/>
      <c r="AJ238" s="8"/>
      <c r="AK238" s="8"/>
      <c r="AL238" s="8"/>
      <c r="AM238" s="8"/>
      <c r="AN238" s="8"/>
      <c r="AO238" s="8"/>
      <c r="AP238" s="8"/>
      <c r="AQ238" s="8"/>
      <c r="AR238" s="59" t="str">
        <f t="shared" si="605"/>
        <v>SEM 20</v>
      </c>
      <c r="AS238" s="59" t="str">
        <f t="shared" si="606"/>
        <v>MAY</v>
      </c>
      <c r="AT238" s="59">
        <v>80000</v>
      </c>
      <c r="AU238" s="59" t="str">
        <f t="shared" si="534"/>
        <v>MAYOR A 45 MILES</v>
      </c>
      <c r="AV238" s="66" t="s">
        <v>73</v>
      </c>
      <c r="AW238" s="66" t="s">
        <v>76</v>
      </c>
      <c r="AX238" s="66" t="s">
        <v>80</v>
      </c>
      <c r="AY238" s="66" t="s">
        <v>173</v>
      </c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59"/>
      <c r="BL238" s="59"/>
      <c r="BM238" s="59"/>
      <c r="BN238" s="164"/>
      <c r="BO238" s="165"/>
      <c r="BP238" s="165"/>
      <c r="BQ238" s="165"/>
      <c r="BR238" s="59"/>
      <c r="BS238" s="59"/>
      <c r="BT238" s="59"/>
      <c r="BU238" s="59"/>
      <c r="BV238" s="59"/>
      <c r="BW238" s="59"/>
      <c r="BX238" s="59"/>
      <c r="BY238" s="59"/>
      <c r="BZ238" s="59" t="str">
        <f t="shared" si="536"/>
        <v>NA</v>
      </c>
      <c r="CA238" s="59" t="str">
        <f t="shared" si="537"/>
        <v/>
      </c>
      <c r="CB238" s="59" t="str">
        <f t="shared" si="538"/>
        <v>NA</v>
      </c>
      <c r="CC238" s="59" t="str">
        <f t="shared" si="539"/>
        <v/>
      </c>
      <c r="CD238" s="59" t="str">
        <f t="shared" si="540"/>
        <v>NA</v>
      </c>
      <c r="CE238" s="59" t="str">
        <f t="shared" si="541"/>
        <v/>
      </c>
      <c r="CF238" s="59"/>
      <c r="CG238" s="59"/>
      <c r="CH238" s="59"/>
      <c r="CI238" s="59" t="str">
        <f t="shared" ca="1" si="545"/>
        <v>DE 31 A 35 DIAS</v>
      </c>
      <c r="CJ238" s="59" t="str">
        <f t="shared" ca="1" si="546"/>
        <v>DE 31 A 35 DIAS</v>
      </c>
      <c r="CK238" s="59" t="str">
        <f t="shared" ca="1" si="547"/>
        <v>DE 31 A 35 DIAS</v>
      </c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>
        <f t="shared" si="559"/>
        <v>0</v>
      </c>
      <c r="DH238" s="8">
        <f t="shared" si="560"/>
        <v>0</v>
      </c>
      <c r="DI238" s="8">
        <f t="shared" si="561"/>
        <v>0</v>
      </c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56">
        <f t="shared" si="548"/>
        <v>0</v>
      </c>
    </row>
    <row r="239" spans="1:154" x14ac:dyDescent="0.25">
      <c r="A239" s="2"/>
      <c r="B239" s="2"/>
      <c r="C239" s="2"/>
      <c r="D239" s="2"/>
      <c r="E239" s="2"/>
      <c r="F239" s="2"/>
      <c r="G239" s="11"/>
      <c r="H239" s="4"/>
      <c r="I239" s="4"/>
      <c r="J239" s="9"/>
      <c r="K239" s="9"/>
      <c r="L239" s="10"/>
      <c r="M239" s="24"/>
      <c r="N239" s="7"/>
      <c r="O239" s="8"/>
      <c r="P239" s="25"/>
      <c r="Q239" s="8"/>
      <c r="R239" s="26"/>
      <c r="S239" s="8"/>
      <c r="T239" s="8"/>
      <c r="U239" s="8"/>
      <c r="V239" s="7"/>
      <c r="W239" s="7"/>
      <c r="X239" s="7"/>
      <c r="Y239" s="7"/>
      <c r="Z239" s="7"/>
      <c r="AA239" s="148"/>
      <c r="AB239" s="148"/>
      <c r="AC239" s="25">
        <f ca="1">TODAY()-39</f>
        <v>41083</v>
      </c>
      <c r="AD239" s="25">
        <f t="shared" ref="AD239:AE239" ca="1" si="684">TODAY()-39</f>
        <v>41083</v>
      </c>
      <c r="AE239" s="25">
        <f t="shared" ca="1" si="684"/>
        <v>41083</v>
      </c>
      <c r="AF239" s="25">
        <v>41059</v>
      </c>
      <c r="AG239" s="59" t="str">
        <f t="shared" ca="1" si="556"/>
        <v>MAYOR A 2 MESES</v>
      </c>
      <c r="AH239" s="8" t="s">
        <v>137</v>
      </c>
      <c r="AI239" s="8"/>
      <c r="AJ239" s="8"/>
      <c r="AK239" s="8"/>
      <c r="AL239" s="8"/>
      <c r="AM239" s="8"/>
      <c r="AN239" s="8"/>
      <c r="AO239" s="8"/>
      <c r="AP239" s="8"/>
      <c r="AQ239" s="8"/>
      <c r="AR239" s="59" t="str">
        <f t="shared" si="605"/>
        <v>SEM 22</v>
      </c>
      <c r="AS239" s="59" t="str">
        <f t="shared" si="606"/>
        <v>MAY</v>
      </c>
      <c r="AT239" s="59">
        <v>24000</v>
      </c>
      <c r="AU239" s="59" t="str">
        <f t="shared" si="534"/>
        <v>ENTRE 18 Y 25 MIL</v>
      </c>
      <c r="AV239" s="66" t="s">
        <v>73</v>
      </c>
      <c r="AW239" s="66" t="s">
        <v>78</v>
      </c>
      <c r="AX239" s="66" t="s">
        <v>80</v>
      </c>
      <c r="AY239" s="66" t="s">
        <v>173</v>
      </c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59"/>
      <c r="BL239" s="59"/>
      <c r="BM239" s="59"/>
      <c r="BN239" s="164"/>
      <c r="BO239" s="165"/>
      <c r="BP239" s="165"/>
      <c r="BQ239" s="165"/>
      <c r="BR239" s="59"/>
      <c r="BS239" s="59"/>
      <c r="BT239" s="59"/>
      <c r="BU239" s="59"/>
      <c r="BV239" s="59"/>
      <c r="BW239" s="59"/>
      <c r="BX239" s="59"/>
      <c r="BY239" s="59"/>
      <c r="BZ239" s="59" t="str">
        <f t="shared" si="536"/>
        <v>NA</v>
      </c>
      <c r="CA239" s="59" t="str">
        <f t="shared" si="537"/>
        <v/>
      </c>
      <c r="CB239" s="59" t="str">
        <f t="shared" si="538"/>
        <v>NA</v>
      </c>
      <c r="CC239" s="59" t="str">
        <f t="shared" si="539"/>
        <v/>
      </c>
      <c r="CD239" s="59" t="str">
        <f t="shared" si="540"/>
        <v>NA</v>
      </c>
      <c r="CE239" s="59" t="str">
        <f t="shared" si="541"/>
        <v/>
      </c>
      <c r="CF239" s="59"/>
      <c r="CG239" s="59"/>
      <c r="CH239" s="59"/>
      <c r="CI239" s="59" t="str">
        <f t="shared" ca="1" si="545"/>
        <v>DE 36 A 45 DIAS</v>
      </c>
      <c r="CJ239" s="59" t="str">
        <f t="shared" ca="1" si="546"/>
        <v>DE 36 A 45 DIAS</v>
      </c>
      <c r="CK239" s="59" t="str">
        <f t="shared" ca="1" si="547"/>
        <v>DE 36 A 45 DIAS</v>
      </c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>
        <f t="shared" si="559"/>
        <v>0</v>
      </c>
      <c r="DH239" s="8">
        <f t="shared" si="560"/>
        <v>0</v>
      </c>
      <c r="DI239" s="8">
        <f t="shared" si="561"/>
        <v>0</v>
      </c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56">
        <f t="shared" si="548"/>
        <v>0</v>
      </c>
    </row>
    <row r="240" spans="1:154" x14ac:dyDescent="0.25">
      <c r="A240" s="2"/>
      <c r="B240" s="2"/>
      <c r="C240" s="2"/>
      <c r="D240" s="2"/>
      <c r="E240" s="2"/>
      <c r="F240" s="2"/>
      <c r="G240" s="11"/>
      <c r="H240" s="4"/>
      <c r="I240" s="4"/>
      <c r="J240" s="9"/>
      <c r="K240" s="9"/>
      <c r="L240" s="10"/>
      <c r="M240" s="24"/>
      <c r="N240" s="7"/>
      <c r="O240" s="8"/>
      <c r="P240" s="25"/>
      <c r="Q240" s="8"/>
      <c r="R240" s="26"/>
      <c r="S240" s="8"/>
      <c r="T240" s="8"/>
      <c r="U240" s="8"/>
      <c r="V240" s="7"/>
      <c r="W240" s="7"/>
      <c r="X240" s="7"/>
      <c r="Y240" s="7"/>
      <c r="Z240" s="7"/>
      <c r="AA240" s="148"/>
      <c r="AB240" s="148"/>
      <c r="AC240" s="25">
        <f ca="1">TODAY()-45</f>
        <v>41077</v>
      </c>
      <c r="AD240" s="25">
        <f t="shared" ref="AD240:AE240" ca="1" si="685">TODAY()-45</f>
        <v>41077</v>
      </c>
      <c r="AE240" s="25">
        <f t="shared" ca="1" si="685"/>
        <v>41077</v>
      </c>
      <c r="AF240" s="25">
        <v>41059</v>
      </c>
      <c r="AG240" s="59" t="str">
        <f t="shared" ca="1" si="556"/>
        <v>MAYOR A 2 MESES</v>
      </c>
      <c r="AH240" s="8" t="s">
        <v>138</v>
      </c>
      <c r="AI240" s="8"/>
      <c r="AJ240" s="8"/>
      <c r="AK240" s="8"/>
      <c r="AL240" s="8"/>
      <c r="AM240" s="8"/>
      <c r="AN240" s="8"/>
      <c r="AO240" s="8"/>
      <c r="AP240" s="8"/>
      <c r="AQ240" s="8"/>
      <c r="AR240" s="59" t="str">
        <f t="shared" si="605"/>
        <v>SEM 22</v>
      </c>
      <c r="AS240" s="59" t="str">
        <f t="shared" si="606"/>
        <v>MAY</v>
      </c>
      <c r="AT240" s="59">
        <v>22000</v>
      </c>
      <c r="AU240" s="59" t="str">
        <f t="shared" si="534"/>
        <v>ENTRE 18 Y 25 MIL</v>
      </c>
      <c r="AV240" s="66" t="s">
        <v>73</v>
      </c>
      <c r="AW240" s="66" t="s">
        <v>76</v>
      </c>
      <c r="AX240" s="66" t="s">
        <v>85</v>
      </c>
      <c r="AY240" s="66" t="s">
        <v>173</v>
      </c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59"/>
      <c r="BL240" s="59"/>
      <c r="BM240" s="59"/>
      <c r="BN240" s="164"/>
      <c r="BO240" s="165"/>
      <c r="BP240" s="165"/>
      <c r="BQ240" s="165"/>
      <c r="BR240" s="59"/>
      <c r="BS240" s="59"/>
      <c r="BT240" s="59"/>
      <c r="BU240" s="59"/>
      <c r="BV240" s="59"/>
      <c r="BW240" s="59"/>
      <c r="BX240" s="59"/>
      <c r="BY240" s="59"/>
      <c r="BZ240" s="59" t="str">
        <f t="shared" si="536"/>
        <v>NA</v>
      </c>
      <c r="CA240" s="59" t="str">
        <f t="shared" si="537"/>
        <v/>
      </c>
      <c r="CB240" s="59" t="str">
        <f t="shared" si="538"/>
        <v>NA</v>
      </c>
      <c r="CC240" s="59" t="str">
        <f t="shared" si="539"/>
        <v/>
      </c>
      <c r="CD240" s="59" t="str">
        <f t="shared" si="540"/>
        <v>NA</v>
      </c>
      <c r="CE240" s="59" t="str">
        <f t="shared" si="541"/>
        <v/>
      </c>
      <c r="CF240" s="59"/>
      <c r="CG240" s="59"/>
      <c r="CH240" s="59"/>
      <c r="CI240" s="59" t="str">
        <f t="shared" ca="1" si="545"/>
        <v>DE 36 A 45 DIAS</v>
      </c>
      <c r="CJ240" s="59" t="str">
        <f t="shared" ca="1" si="546"/>
        <v>DE 36 A 45 DIAS</v>
      </c>
      <c r="CK240" s="59" t="str">
        <f t="shared" ca="1" si="547"/>
        <v>DE 36 A 45 DIAS</v>
      </c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>
        <f t="shared" si="559"/>
        <v>0</v>
      </c>
      <c r="DH240" s="8">
        <f t="shared" si="560"/>
        <v>0</v>
      </c>
      <c r="DI240" s="8">
        <f t="shared" si="561"/>
        <v>0</v>
      </c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56">
        <f t="shared" si="548"/>
        <v>0</v>
      </c>
    </row>
    <row r="241" spans="1:154" x14ac:dyDescent="0.25">
      <c r="A241" s="2"/>
      <c r="B241" s="2"/>
      <c r="C241" s="2"/>
      <c r="D241" s="2"/>
      <c r="E241" s="2"/>
      <c r="F241" s="2"/>
      <c r="G241" s="11"/>
      <c r="H241" s="4"/>
      <c r="I241" s="4"/>
      <c r="J241" s="9"/>
      <c r="K241" s="9"/>
      <c r="L241" s="10"/>
      <c r="M241" s="24"/>
      <c r="N241" s="7"/>
      <c r="O241" s="8"/>
      <c r="P241" s="25"/>
      <c r="Q241" s="8"/>
      <c r="R241" s="26"/>
      <c r="S241" s="8"/>
      <c r="T241" s="8"/>
      <c r="U241" s="8"/>
      <c r="V241" s="7"/>
      <c r="W241" s="7"/>
      <c r="X241" s="7"/>
      <c r="Y241" s="7"/>
      <c r="Z241" s="7"/>
      <c r="AA241" s="148"/>
      <c r="AB241" s="148"/>
      <c r="AC241" s="25">
        <f ca="1">TODAY()-50</f>
        <v>41072</v>
      </c>
      <c r="AD241" s="25">
        <f t="shared" ref="AD241:AE241" ca="1" si="686">TODAY()-50</f>
        <v>41072</v>
      </c>
      <c r="AE241" s="25">
        <f t="shared" ca="1" si="686"/>
        <v>41072</v>
      </c>
      <c r="AF241" s="25">
        <v>41091</v>
      </c>
      <c r="AG241" s="59" t="str">
        <f t="shared" ca="1" si="556"/>
        <v>5TA SEM</v>
      </c>
      <c r="AH241" s="8" t="s">
        <v>139</v>
      </c>
      <c r="AI241" s="8"/>
      <c r="AJ241" s="8"/>
      <c r="AK241" s="8"/>
      <c r="AL241" s="8"/>
      <c r="AM241" s="8"/>
      <c r="AN241" s="8"/>
      <c r="AO241" s="8"/>
      <c r="AP241" s="8"/>
      <c r="AQ241" s="8"/>
      <c r="AR241" s="59" t="str">
        <f t="shared" si="605"/>
        <v>SEM 27</v>
      </c>
      <c r="AS241" s="59" t="str">
        <f t="shared" si="606"/>
        <v>JUL</v>
      </c>
      <c r="AT241" s="59">
        <v>17000</v>
      </c>
      <c r="AU241" s="59" t="str">
        <f t="shared" si="534"/>
        <v>ENTRE 12 Y 18 MIL</v>
      </c>
      <c r="AV241" s="66" t="s">
        <v>148</v>
      </c>
      <c r="AW241" s="66" t="s">
        <v>78</v>
      </c>
      <c r="AX241" s="66" t="s">
        <v>85</v>
      </c>
      <c r="AY241" s="66" t="s">
        <v>174</v>
      </c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59"/>
      <c r="BL241" s="59"/>
      <c r="BM241" s="59"/>
      <c r="BN241" s="164"/>
      <c r="BO241" s="165"/>
      <c r="BP241" s="165"/>
      <c r="BQ241" s="165"/>
      <c r="BR241" s="59"/>
      <c r="BS241" s="59"/>
      <c r="BT241" s="59"/>
      <c r="BU241" s="59"/>
      <c r="BV241" s="59"/>
      <c r="BW241" s="59"/>
      <c r="BX241" s="59"/>
      <c r="BY241" s="59"/>
      <c r="BZ241" s="59" t="str">
        <f t="shared" si="536"/>
        <v>NA</v>
      </c>
      <c r="CA241" s="59" t="str">
        <f t="shared" si="537"/>
        <v/>
      </c>
      <c r="CB241" s="59" t="str">
        <f t="shared" si="538"/>
        <v>NA</v>
      </c>
      <c r="CC241" s="59" t="str">
        <f t="shared" si="539"/>
        <v/>
      </c>
      <c r="CD241" s="59" t="str">
        <f t="shared" si="540"/>
        <v>NA</v>
      </c>
      <c r="CE241" s="59" t="str">
        <f t="shared" si="541"/>
        <v/>
      </c>
      <c r="CF241" s="59"/>
      <c r="CG241" s="59"/>
      <c r="CH241" s="59"/>
      <c r="CI241" s="59" t="str">
        <f t="shared" ca="1" si="545"/>
        <v>MAYOR A 45 DIAS</v>
      </c>
      <c r="CJ241" s="59" t="str">
        <f t="shared" ca="1" si="546"/>
        <v>MAYOR A 45 DIAS</v>
      </c>
      <c r="CK241" s="59" t="str">
        <f t="shared" ca="1" si="547"/>
        <v>MAYOR A 45 DIAS</v>
      </c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>
        <f t="shared" si="559"/>
        <v>0</v>
      </c>
      <c r="DH241" s="8">
        <f t="shared" si="560"/>
        <v>0</v>
      </c>
      <c r="DI241" s="8">
        <f t="shared" si="561"/>
        <v>0</v>
      </c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56">
        <f t="shared" si="548"/>
        <v>0</v>
      </c>
    </row>
    <row r="242" spans="1:154" x14ac:dyDescent="0.25">
      <c r="A242" s="2"/>
      <c r="B242" s="2"/>
      <c r="C242" s="2"/>
      <c r="D242" s="2"/>
      <c r="E242" s="2"/>
      <c r="F242" s="2"/>
      <c r="G242" s="11"/>
      <c r="H242" s="4"/>
      <c r="I242" s="4"/>
      <c r="J242" s="9"/>
      <c r="K242" s="9"/>
      <c r="L242" s="10"/>
      <c r="M242" s="24"/>
      <c r="N242" s="7"/>
      <c r="O242" s="8"/>
      <c r="P242" s="25"/>
      <c r="Q242" s="8"/>
      <c r="R242" s="26"/>
      <c r="S242" s="8"/>
      <c r="T242" s="8"/>
      <c r="U242" s="8"/>
      <c r="V242" s="7"/>
      <c r="W242" s="7"/>
      <c r="X242" s="7"/>
      <c r="Y242" s="7"/>
      <c r="Z242" s="7"/>
      <c r="AA242" s="148"/>
      <c r="AB242" s="148"/>
      <c r="AC242" s="25">
        <f ca="1">TODAY()-4</f>
        <v>41118</v>
      </c>
      <c r="AD242" s="25">
        <f t="shared" ref="AD242:AE242" ca="1" si="687">TODAY()-4</f>
        <v>41118</v>
      </c>
      <c r="AE242" s="25">
        <f t="shared" ca="1" si="687"/>
        <v>41118</v>
      </c>
      <c r="AF242" s="25">
        <v>40998</v>
      </c>
      <c r="AG242" s="59" t="str">
        <f t="shared" ca="1" si="556"/>
        <v>MAYOR A 2 MESES</v>
      </c>
      <c r="AH242" s="8" t="s">
        <v>140</v>
      </c>
      <c r="AI242" s="8"/>
      <c r="AJ242" s="8"/>
      <c r="AK242" s="8"/>
      <c r="AL242" s="8"/>
      <c r="AM242" s="8"/>
      <c r="AN242" s="8"/>
      <c r="AO242" s="8"/>
      <c r="AP242" s="8"/>
      <c r="AQ242" s="8"/>
      <c r="AR242" s="59" t="str">
        <f t="shared" si="605"/>
        <v>SEM 13</v>
      </c>
      <c r="AS242" s="59" t="str">
        <f t="shared" si="606"/>
        <v>MAR</v>
      </c>
      <c r="AT242" s="59">
        <v>12000</v>
      </c>
      <c r="AU242" s="59" t="str">
        <f t="shared" si="534"/>
        <v>HASTA 12 MIL</v>
      </c>
      <c r="AV242" s="66" t="s">
        <v>147</v>
      </c>
      <c r="AW242" s="66" t="s">
        <v>78</v>
      </c>
      <c r="AX242" s="66" t="s">
        <v>85</v>
      </c>
      <c r="AY242" s="66" t="s">
        <v>174</v>
      </c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59"/>
      <c r="BL242" s="59"/>
      <c r="BM242" s="59"/>
      <c r="BN242" s="164"/>
      <c r="BO242" s="165"/>
      <c r="BP242" s="165"/>
      <c r="BQ242" s="165"/>
      <c r="BR242" s="59"/>
      <c r="BS242" s="59"/>
      <c r="BT242" s="59"/>
      <c r="BU242" s="59"/>
      <c r="BV242" s="59"/>
      <c r="BW242" s="59"/>
      <c r="BX242" s="59"/>
      <c r="BY242" s="59"/>
      <c r="BZ242" s="59" t="str">
        <f t="shared" si="536"/>
        <v>NA</v>
      </c>
      <c r="CA242" s="59" t="str">
        <f t="shared" si="537"/>
        <v/>
      </c>
      <c r="CB242" s="59" t="str">
        <f t="shared" si="538"/>
        <v>NA</v>
      </c>
      <c r="CC242" s="59" t="str">
        <f t="shared" si="539"/>
        <v/>
      </c>
      <c r="CD242" s="59" t="str">
        <f t="shared" si="540"/>
        <v>NA</v>
      </c>
      <c r="CE242" s="59" t="str">
        <f t="shared" si="541"/>
        <v/>
      </c>
      <c r="CF242" s="59"/>
      <c r="CG242" s="59"/>
      <c r="CH242" s="59"/>
      <c r="CI242" s="59" t="str">
        <f t="shared" ca="1" si="545"/>
        <v>HASTA 5 DIAS</v>
      </c>
      <c r="CJ242" s="59" t="str">
        <f t="shared" ca="1" si="546"/>
        <v>HASTA 5 DIAS</v>
      </c>
      <c r="CK242" s="59" t="str">
        <f t="shared" ca="1" si="547"/>
        <v>HASTA 5 DIAS</v>
      </c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>
        <f t="shared" si="559"/>
        <v>0</v>
      </c>
      <c r="DH242" s="8">
        <f t="shared" si="560"/>
        <v>0</v>
      </c>
      <c r="DI242" s="8">
        <f t="shared" si="561"/>
        <v>0</v>
      </c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56">
        <f t="shared" si="548"/>
        <v>0</v>
      </c>
    </row>
    <row r="243" spans="1:154" x14ac:dyDescent="0.25">
      <c r="A243" s="2"/>
      <c r="B243" s="2"/>
      <c r="C243" s="2"/>
      <c r="D243" s="2"/>
      <c r="E243" s="2"/>
      <c r="F243" s="2"/>
      <c r="G243" s="11"/>
      <c r="H243" s="4"/>
      <c r="I243" s="4"/>
      <c r="J243" s="9"/>
      <c r="K243" s="9"/>
      <c r="L243" s="10"/>
      <c r="M243" s="24"/>
      <c r="N243" s="7"/>
      <c r="O243" s="8"/>
      <c r="P243" s="25"/>
      <c r="Q243" s="8"/>
      <c r="R243" s="26"/>
      <c r="S243" s="8"/>
      <c r="T243" s="8"/>
      <c r="U243" s="8"/>
      <c r="V243" s="7"/>
      <c r="W243" s="7"/>
      <c r="X243" s="7"/>
      <c r="Y243" s="7"/>
      <c r="Z243" s="7"/>
      <c r="AA243" s="148"/>
      <c r="AB243" s="148"/>
      <c r="AC243" s="25">
        <f ca="1">TODAY()-9</f>
        <v>41113</v>
      </c>
      <c r="AD243" s="25">
        <f t="shared" ref="AD243:AE243" ca="1" si="688">TODAY()-9</f>
        <v>41113</v>
      </c>
      <c r="AE243" s="25">
        <f t="shared" ca="1" si="688"/>
        <v>41113</v>
      </c>
      <c r="AF243" s="25">
        <v>41043</v>
      </c>
      <c r="AG243" s="59" t="str">
        <f t="shared" ca="1" si="556"/>
        <v>MAYOR A 2 MESES</v>
      </c>
      <c r="AH243" s="8" t="s">
        <v>141</v>
      </c>
      <c r="AI243" s="8"/>
      <c r="AJ243" s="8"/>
      <c r="AK243" s="8"/>
      <c r="AL243" s="8"/>
      <c r="AM243" s="8"/>
      <c r="AN243" s="8"/>
      <c r="AO243" s="8"/>
      <c r="AP243" s="8"/>
      <c r="AQ243" s="8"/>
      <c r="AR243" s="59" t="str">
        <f t="shared" si="605"/>
        <v>SEM 20</v>
      </c>
      <c r="AS243" s="59" t="str">
        <f t="shared" si="606"/>
        <v>MAY</v>
      </c>
      <c r="AT243" s="59">
        <v>32000</v>
      </c>
      <c r="AU243" s="59" t="str">
        <f t="shared" si="534"/>
        <v>ENTRE 25 Y 35 MIL</v>
      </c>
      <c r="AV243" s="66" t="s">
        <v>74</v>
      </c>
      <c r="AW243" s="66" t="s">
        <v>77</v>
      </c>
      <c r="AX243" s="66" t="s">
        <v>85</v>
      </c>
      <c r="AY243" s="66" t="s">
        <v>174</v>
      </c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59"/>
      <c r="BL243" s="59"/>
      <c r="BM243" s="59"/>
      <c r="BN243" s="164"/>
      <c r="BO243" s="165"/>
      <c r="BP243" s="165"/>
      <c r="BQ243" s="165"/>
      <c r="BR243" s="59"/>
      <c r="BS243" s="59"/>
      <c r="BT243" s="59"/>
      <c r="BU243" s="59"/>
      <c r="BV243" s="59"/>
      <c r="BW243" s="59"/>
      <c r="BX243" s="59"/>
      <c r="BY243" s="59"/>
      <c r="BZ243" s="59" t="str">
        <f t="shared" si="536"/>
        <v>NA</v>
      </c>
      <c r="CA243" s="59" t="str">
        <f t="shared" si="537"/>
        <v/>
      </c>
      <c r="CB243" s="59" t="str">
        <f t="shared" si="538"/>
        <v>NA</v>
      </c>
      <c r="CC243" s="59" t="str">
        <f t="shared" si="539"/>
        <v/>
      </c>
      <c r="CD243" s="59" t="str">
        <f t="shared" si="540"/>
        <v>NA</v>
      </c>
      <c r="CE243" s="59" t="str">
        <f t="shared" si="541"/>
        <v/>
      </c>
      <c r="CF243" s="59"/>
      <c r="CG243" s="59"/>
      <c r="CH243" s="59"/>
      <c r="CI243" s="59" t="str">
        <f t="shared" ca="1" si="545"/>
        <v>DE 6 A 10 DIAS</v>
      </c>
      <c r="CJ243" s="59" t="str">
        <f t="shared" ca="1" si="546"/>
        <v>DE 6 A 10 DIAS</v>
      </c>
      <c r="CK243" s="59" t="str">
        <f t="shared" ca="1" si="547"/>
        <v>DE 6 A 10 DIAS</v>
      </c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>
        <f t="shared" si="559"/>
        <v>0</v>
      </c>
      <c r="DH243" s="8">
        <f t="shared" si="560"/>
        <v>0</v>
      </c>
      <c r="DI243" s="8">
        <f t="shared" si="561"/>
        <v>0</v>
      </c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56">
        <f t="shared" si="548"/>
        <v>0</v>
      </c>
    </row>
    <row r="244" spans="1:154" x14ac:dyDescent="0.25">
      <c r="A244" s="2"/>
      <c r="B244" s="2"/>
      <c r="C244" s="2"/>
      <c r="D244" s="2"/>
      <c r="E244" s="2"/>
      <c r="F244" s="2"/>
      <c r="G244" s="11"/>
      <c r="H244" s="4"/>
      <c r="I244" s="4"/>
      <c r="J244" s="9"/>
      <c r="K244" s="9"/>
      <c r="L244" s="10"/>
      <c r="M244" s="24"/>
      <c r="N244" s="7"/>
      <c r="O244" s="8"/>
      <c r="P244" s="25"/>
      <c r="Q244" s="8"/>
      <c r="R244" s="26"/>
      <c r="S244" s="8"/>
      <c r="T244" s="8"/>
      <c r="U244" s="8"/>
      <c r="V244" s="7"/>
      <c r="W244" s="7"/>
      <c r="X244" s="7"/>
      <c r="Y244" s="7"/>
      <c r="Z244" s="7"/>
      <c r="AA244" s="148"/>
      <c r="AB244" s="148"/>
      <c r="AC244" s="25">
        <f ca="1">TODAY()-14</f>
        <v>41108</v>
      </c>
      <c r="AD244" s="25">
        <f t="shared" ref="AD244:AE244" ca="1" si="689">TODAY()-14</f>
        <v>41108</v>
      </c>
      <c r="AE244" s="25">
        <f t="shared" ca="1" si="689"/>
        <v>41108</v>
      </c>
      <c r="AF244" s="25">
        <v>41067</v>
      </c>
      <c r="AG244" s="59" t="str">
        <f t="shared" ca="1" si="556"/>
        <v>8VA SEM</v>
      </c>
      <c r="AH244" s="8" t="s">
        <v>142</v>
      </c>
      <c r="AI244" s="8"/>
      <c r="AJ244" s="8"/>
      <c r="AK244" s="8"/>
      <c r="AL244" s="8"/>
      <c r="AM244" s="8"/>
      <c r="AN244" s="8"/>
      <c r="AO244" s="8"/>
      <c r="AP244" s="8"/>
      <c r="AQ244" s="8"/>
      <c r="AR244" s="59" t="str">
        <f t="shared" si="605"/>
        <v>SEM 23</v>
      </c>
      <c r="AS244" s="59" t="str">
        <f t="shared" si="606"/>
        <v>JUN</v>
      </c>
      <c r="AT244" s="59">
        <v>7000</v>
      </c>
      <c r="AU244" s="59" t="str">
        <f t="shared" si="534"/>
        <v>HASTA 12 MIL</v>
      </c>
      <c r="AV244" s="66" t="s">
        <v>72</v>
      </c>
      <c r="AW244" s="66" t="s">
        <v>77</v>
      </c>
      <c r="AX244" s="66" t="s">
        <v>85</v>
      </c>
      <c r="AY244" s="66" t="s">
        <v>171</v>
      </c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59"/>
      <c r="BL244" s="59"/>
      <c r="BM244" s="59"/>
      <c r="BN244" s="164"/>
      <c r="BO244" s="165"/>
      <c r="BP244" s="165"/>
      <c r="BQ244" s="165"/>
      <c r="BR244" s="59"/>
      <c r="BS244" s="59"/>
      <c r="BT244" s="59"/>
      <c r="BU244" s="59"/>
      <c r="BV244" s="59"/>
      <c r="BW244" s="59"/>
      <c r="BX244" s="59"/>
      <c r="BY244" s="59"/>
      <c r="BZ244" s="59" t="str">
        <f t="shared" si="536"/>
        <v>NA</v>
      </c>
      <c r="CA244" s="59" t="str">
        <f t="shared" si="537"/>
        <v/>
      </c>
      <c r="CB244" s="59" t="str">
        <f t="shared" si="538"/>
        <v>NA</v>
      </c>
      <c r="CC244" s="59" t="str">
        <f t="shared" si="539"/>
        <v/>
      </c>
      <c r="CD244" s="59" t="str">
        <f t="shared" si="540"/>
        <v>NA</v>
      </c>
      <c r="CE244" s="59" t="str">
        <f t="shared" si="541"/>
        <v/>
      </c>
      <c r="CF244" s="59"/>
      <c r="CG244" s="59"/>
      <c r="CH244" s="59"/>
      <c r="CI244" s="59" t="str">
        <f t="shared" ca="1" si="545"/>
        <v>DE 11 A 15 DIAS</v>
      </c>
      <c r="CJ244" s="59" t="str">
        <f t="shared" ca="1" si="546"/>
        <v>DE 11 A 15 DIAS</v>
      </c>
      <c r="CK244" s="59" t="str">
        <f t="shared" ca="1" si="547"/>
        <v>DE 11 A 15 DIAS</v>
      </c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>
        <f t="shared" si="559"/>
        <v>0</v>
      </c>
      <c r="DH244" s="8">
        <f t="shared" si="560"/>
        <v>0</v>
      </c>
      <c r="DI244" s="8">
        <f t="shared" si="561"/>
        <v>0</v>
      </c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56">
        <f t="shared" si="548"/>
        <v>0</v>
      </c>
    </row>
    <row r="245" spans="1:154" x14ac:dyDescent="0.25">
      <c r="A245" s="2"/>
      <c r="B245" s="2"/>
      <c r="C245" s="2"/>
      <c r="D245" s="2"/>
      <c r="E245" s="2"/>
      <c r="F245" s="2"/>
      <c r="G245" s="11"/>
      <c r="H245" s="4"/>
      <c r="I245" s="4"/>
      <c r="J245" s="9"/>
      <c r="K245" s="9"/>
      <c r="L245" s="10"/>
      <c r="M245" s="24"/>
      <c r="N245" s="7"/>
      <c r="O245" s="8"/>
      <c r="P245" s="25"/>
      <c r="Q245" s="8"/>
      <c r="R245" s="26"/>
      <c r="S245" s="8"/>
      <c r="T245" s="8"/>
      <c r="U245" s="8"/>
      <c r="V245" s="7"/>
      <c r="W245" s="7"/>
      <c r="X245" s="7"/>
      <c r="Y245" s="7"/>
      <c r="Z245" s="7"/>
      <c r="AA245" s="148"/>
      <c r="AB245" s="148"/>
      <c r="AC245" s="25">
        <f ca="1">TODAY()-19</f>
        <v>41103</v>
      </c>
      <c r="AD245" s="25">
        <f t="shared" ref="AD245:AE245" ca="1" si="690">TODAY()-19</f>
        <v>41103</v>
      </c>
      <c r="AE245" s="25">
        <f t="shared" ca="1" si="690"/>
        <v>41103</v>
      </c>
      <c r="AF245" s="25">
        <v>41067</v>
      </c>
      <c r="AG245" s="59" t="str">
        <f t="shared" ca="1" si="556"/>
        <v>8VA SEM</v>
      </c>
      <c r="AH245" s="8" t="s">
        <v>143</v>
      </c>
      <c r="AI245" s="8"/>
      <c r="AJ245" s="8"/>
      <c r="AK245" s="8"/>
      <c r="AL245" s="8"/>
      <c r="AM245" s="8"/>
      <c r="AN245" s="8"/>
      <c r="AO245" s="8"/>
      <c r="AP245" s="8"/>
      <c r="AQ245" s="8"/>
      <c r="AR245" s="59" t="str">
        <f t="shared" si="605"/>
        <v>SEM 23</v>
      </c>
      <c r="AS245" s="59" t="str">
        <f t="shared" si="606"/>
        <v>JUN</v>
      </c>
      <c r="AT245" s="59">
        <v>8000</v>
      </c>
      <c r="AU245" s="59" t="str">
        <f t="shared" si="534"/>
        <v>HASTA 12 MIL</v>
      </c>
      <c r="AV245" s="66" t="s">
        <v>70</v>
      </c>
      <c r="AW245" s="66" t="s">
        <v>77</v>
      </c>
      <c r="AX245" s="66" t="s">
        <v>84</v>
      </c>
      <c r="AY245" s="66" t="s">
        <v>171</v>
      </c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59"/>
      <c r="BL245" s="59"/>
      <c r="BM245" s="59"/>
      <c r="BN245" s="164"/>
      <c r="BO245" s="165"/>
      <c r="BP245" s="165"/>
      <c r="BQ245" s="165"/>
      <c r="BR245" s="59"/>
      <c r="BS245" s="59"/>
      <c r="BT245" s="59"/>
      <c r="BU245" s="59"/>
      <c r="BV245" s="59"/>
      <c r="BW245" s="59"/>
      <c r="BX245" s="59"/>
      <c r="BY245" s="59"/>
      <c r="BZ245" s="59" t="str">
        <f t="shared" si="536"/>
        <v>NA</v>
      </c>
      <c r="CA245" s="59" t="str">
        <f t="shared" si="537"/>
        <v/>
      </c>
      <c r="CB245" s="59" t="str">
        <f t="shared" si="538"/>
        <v>NA</v>
      </c>
      <c r="CC245" s="59" t="str">
        <f t="shared" si="539"/>
        <v/>
      </c>
      <c r="CD245" s="59" t="str">
        <f t="shared" si="540"/>
        <v>NA</v>
      </c>
      <c r="CE245" s="59" t="str">
        <f t="shared" si="541"/>
        <v/>
      </c>
      <c r="CF245" s="59"/>
      <c r="CG245" s="59"/>
      <c r="CH245" s="59"/>
      <c r="CI245" s="59" t="str">
        <f t="shared" ca="1" si="545"/>
        <v>DE 16 A 20 DIAS</v>
      </c>
      <c r="CJ245" s="59" t="str">
        <f t="shared" ca="1" si="546"/>
        <v>DE 16 A 20 DIAS</v>
      </c>
      <c r="CK245" s="59" t="str">
        <f t="shared" ca="1" si="547"/>
        <v>DE 16 A 20 DIAS</v>
      </c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>
        <f t="shared" si="559"/>
        <v>0</v>
      </c>
      <c r="DH245" s="8">
        <f t="shared" si="560"/>
        <v>0</v>
      </c>
      <c r="DI245" s="8">
        <f t="shared" si="561"/>
        <v>0</v>
      </c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56">
        <f t="shared" si="548"/>
        <v>0</v>
      </c>
    </row>
    <row r="246" spans="1:154" x14ac:dyDescent="0.25">
      <c r="A246" s="2"/>
      <c r="B246" s="2"/>
      <c r="C246" s="2"/>
      <c r="D246" s="2"/>
      <c r="E246" s="2"/>
      <c r="F246" s="2"/>
      <c r="G246" s="11"/>
      <c r="H246" s="4"/>
      <c r="I246" s="4"/>
      <c r="J246" s="9"/>
      <c r="K246" s="9"/>
      <c r="L246" s="10"/>
      <c r="M246" s="24"/>
      <c r="N246" s="7"/>
      <c r="O246" s="8"/>
      <c r="P246" s="25"/>
      <c r="Q246" s="8"/>
      <c r="R246" s="26"/>
      <c r="S246" s="8"/>
      <c r="T246" s="8"/>
      <c r="U246" s="8"/>
      <c r="V246" s="7"/>
      <c r="W246" s="7"/>
      <c r="X246" s="7"/>
      <c r="Y246" s="7"/>
      <c r="Z246" s="7"/>
      <c r="AA246" s="148"/>
      <c r="AB246" s="148"/>
      <c r="AC246" s="25">
        <f ca="1">TODAY()-25</f>
        <v>41097</v>
      </c>
      <c r="AD246" s="25">
        <f t="shared" ref="AD246:AE246" ca="1" si="691">TODAY()-25</f>
        <v>41097</v>
      </c>
      <c r="AE246" s="25">
        <f t="shared" ca="1" si="691"/>
        <v>41097</v>
      </c>
      <c r="AF246" s="25">
        <v>41043</v>
      </c>
      <c r="AG246" s="59" t="str">
        <f t="shared" ca="1" si="556"/>
        <v>MAYOR A 2 MESES</v>
      </c>
      <c r="AH246" s="8" t="s">
        <v>144</v>
      </c>
      <c r="AI246" s="8"/>
      <c r="AJ246" s="8"/>
      <c r="AK246" s="8"/>
      <c r="AL246" s="8"/>
      <c r="AM246" s="8"/>
      <c r="AN246" s="8"/>
      <c r="AO246" s="8"/>
      <c r="AP246" s="8"/>
      <c r="AQ246" s="8"/>
      <c r="AR246" s="59" t="str">
        <f t="shared" si="605"/>
        <v>SEM 20</v>
      </c>
      <c r="AS246" s="59" t="str">
        <f t="shared" si="606"/>
        <v>MAY</v>
      </c>
      <c r="AT246" s="59">
        <v>15000</v>
      </c>
      <c r="AU246" s="59" t="str">
        <f t="shared" si="534"/>
        <v>ENTRE 12 Y 18 MIL</v>
      </c>
      <c r="AV246" s="66" t="s">
        <v>70</v>
      </c>
      <c r="AW246" s="66" t="s">
        <v>77</v>
      </c>
      <c r="AX246" s="66" t="s">
        <v>84</v>
      </c>
      <c r="AY246" s="66" t="s">
        <v>172</v>
      </c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59"/>
      <c r="BL246" s="59"/>
      <c r="BM246" s="59"/>
      <c r="BN246" s="164"/>
      <c r="BO246" s="165"/>
      <c r="BP246" s="165"/>
      <c r="BQ246" s="165"/>
      <c r="BR246" s="59"/>
      <c r="BS246" s="59"/>
      <c r="BT246" s="59"/>
      <c r="BU246" s="59"/>
      <c r="BV246" s="59"/>
      <c r="BW246" s="59"/>
      <c r="BX246" s="59"/>
      <c r="BY246" s="59"/>
      <c r="BZ246" s="59" t="str">
        <f t="shared" si="536"/>
        <v>NA</v>
      </c>
      <c r="CA246" s="59" t="str">
        <f t="shared" si="537"/>
        <v/>
      </c>
      <c r="CB246" s="59" t="str">
        <f t="shared" si="538"/>
        <v>NA</v>
      </c>
      <c r="CC246" s="59" t="str">
        <f t="shared" si="539"/>
        <v/>
      </c>
      <c r="CD246" s="59" t="str">
        <f t="shared" si="540"/>
        <v>NA</v>
      </c>
      <c r="CE246" s="59" t="str">
        <f t="shared" si="541"/>
        <v/>
      </c>
      <c r="CF246" s="59"/>
      <c r="CG246" s="59"/>
      <c r="CH246" s="59"/>
      <c r="CI246" s="59" t="str">
        <f t="shared" ca="1" si="545"/>
        <v>DE 21 A 25 DIAS</v>
      </c>
      <c r="CJ246" s="59" t="str">
        <f t="shared" ca="1" si="546"/>
        <v>DE 21 A 25 DIAS</v>
      </c>
      <c r="CK246" s="59" t="str">
        <f t="shared" ca="1" si="547"/>
        <v>DE 21 A 25 DIAS</v>
      </c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>
        <f t="shared" si="559"/>
        <v>0</v>
      </c>
      <c r="DH246" s="8">
        <f t="shared" si="560"/>
        <v>0</v>
      </c>
      <c r="DI246" s="8">
        <f t="shared" si="561"/>
        <v>0</v>
      </c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56">
        <f t="shared" si="548"/>
        <v>0</v>
      </c>
    </row>
    <row r="247" spans="1:154" x14ac:dyDescent="0.25">
      <c r="A247" s="2"/>
      <c r="B247" s="2"/>
      <c r="C247" s="2"/>
      <c r="D247" s="2"/>
      <c r="E247" s="2"/>
      <c r="F247" s="2"/>
      <c r="G247" s="11"/>
      <c r="H247" s="4"/>
      <c r="I247" s="4"/>
      <c r="J247" s="9"/>
      <c r="K247" s="9"/>
      <c r="L247" s="10"/>
      <c r="M247" s="24"/>
      <c r="N247" s="7"/>
      <c r="O247" s="8"/>
      <c r="P247" s="25"/>
      <c r="Q247" s="8"/>
      <c r="R247" s="26"/>
      <c r="S247" s="8"/>
      <c r="T247" s="8"/>
      <c r="U247" s="8"/>
      <c r="V247" s="7"/>
      <c r="W247" s="7"/>
      <c r="X247" s="7"/>
      <c r="Y247" s="7"/>
      <c r="Z247" s="7"/>
      <c r="AA247" s="148"/>
      <c r="AB247" s="148"/>
      <c r="AC247" s="25">
        <f ca="1">TODAY()-29</f>
        <v>41093</v>
      </c>
      <c r="AD247" s="25">
        <f t="shared" ref="AD247:AE247" ca="1" si="692">TODAY()-29</f>
        <v>41093</v>
      </c>
      <c r="AE247" s="25">
        <f t="shared" ca="1" si="692"/>
        <v>41093</v>
      </c>
      <c r="AF247" s="25">
        <v>41101</v>
      </c>
      <c r="AG247" s="59" t="str">
        <f t="shared" ca="1" si="556"/>
        <v>3RA SEM</v>
      </c>
      <c r="AH247" s="8" t="s">
        <v>151</v>
      </c>
      <c r="AI247" s="8"/>
      <c r="AJ247" s="8"/>
      <c r="AK247" s="8"/>
      <c r="AL247" s="8"/>
      <c r="AM247" s="8"/>
      <c r="AN247" s="8"/>
      <c r="AO247" s="8"/>
      <c r="AP247" s="8"/>
      <c r="AQ247" s="8"/>
      <c r="AR247" s="59" t="str">
        <f t="shared" si="605"/>
        <v>SEM 28</v>
      </c>
      <c r="AS247" s="59" t="str">
        <f t="shared" si="606"/>
        <v>JUL</v>
      </c>
      <c r="AT247" s="59">
        <v>21000</v>
      </c>
      <c r="AU247" s="59" t="str">
        <f t="shared" si="534"/>
        <v>ENTRE 18 Y 25 MIL</v>
      </c>
      <c r="AV247" s="66" t="s">
        <v>70</v>
      </c>
      <c r="AW247" s="66" t="s">
        <v>77</v>
      </c>
      <c r="AX247" s="66" t="s">
        <v>83</v>
      </c>
      <c r="AY247" s="66" t="s">
        <v>172</v>
      </c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59"/>
      <c r="BL247" s="59"/>
      <c r="BM247" s="59"/>
      <c r="BN247" s="164"/>
      <c r="BO247" s="165"/>
      <c r="BP247" s="165"/>
      <c r="BQ247" s="165"/>
      <c r="BR247" s="59"/>
      <c r="BS247" s="59"/>
      <c r="BT247" s="59"/>
      <c r="BU247" s="59"/>
      <c r="BV247" s="59"/>
      <c r="BW247" s="59"/>
      <c r="BX247" s="59"/>
      <c r="BY247" s="59"/>
      <c r="BZ247" s="59" t="str">
        <f t="shared" si="536"/>
        <v>NA</v>
      </c>
      <c r="CA247" s="59" t="str">
        <f t="shared" si="537"/>
        <v/>
      </c>
      <c r="CB247" s="59" t="str">
        <f t="shared" si="538"/>
        <v>NA</v>
      </c>
      <c r="CC247" s="59" t="str">
        <f t="shared" si="539"/>
        <v/>
      </c>
      <c r="CD247" s="59" t="str">
        <f t="shared" si="540"/>
        <v>NA</v>
      </c>
      <c r="CE247" s="59" t="str">
        <f t="shared" si="541"/>
        <v/>
      </c>
      <c r="CF247" s="59"/>
      <c r="CG247" s="59"/>
      <c r="CH247" s="59"/>
      <c r="CI247" s="59" t="str">
        <f t="shared" ca="1" si="545"/>
        <v>DE 26 A 29 DIAS</v>
      </c>
      <c r="CJ247" s="59" t="str">
        <f t="shared" ca="1" si="546"/>
        <v>DE 26 A 29 DIAS</v>
      </c>
      <c r="CK247" s="59" t="str">
        <f t="shared" ca="1" si="547"/>
        <v>DE 26 A 29 DIAS</v>
      </c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>
        <f t="shared" si="559"/>
        <v>0</v>
      </c>
      <c r="DH247" s="8">
        <f t="shared" si="560"/>
        <v>0</v>
      </c>
      <c r="DI247" s="8">
        <f t="shared" si="561"/>
        <v>0</v>
      </c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56">
        <f t="shared" si="548"/>
        <v>0</v>
      </c>
    </row>
    <row r="248" spans="1:154" x14ac:dyDescent="0.25">
      <c r="A248" s="2"/>
      <c r="B248" s="2"/>
      <c r="C248" s="2"/>
      <c r="D248" s="2"/>
      <c r="E248" s="2"/>
      <c r="F248" s="2"/>
      <c r="G248" s="11"/>
      <c r="H248" s="4"/>
      <c r="I248" s="4"/>
      <c r="J248" s="9"/>
      <c r="K248" s="9"/>
      <c r="L248" s="10"/>
      <c r="M248" s="24"/>
      <c r="N248" s="7"/>
      <c r="O248" s="8"/>
      <c r="P248" s="25"/>
      <c r="Q248" s="8"/>
      <c r="R248" s="26"/>
      <c r="S248" s="8"/>
      <c r="T248" s="8"/>
      <c r="U248" s="8"/>
      <c r="V248" s="7"/>
      <c r="W248" s="7"/>
      <c r="X248" s="7"/>
      <c r="Y248" s="7"/>
      <c r="Z248" s="7"/>
      <c r="AA248" s="148"/>
      <c r="AB248" s="148"/>
      <c r="AC248" s="25">
        <f ca="1">TODAY()-30</f>
        <v>41092</v>
      </c>
      <c r="AD248" s="25">
        <f t="shared" ref="AD248:AE248" ca="1" si="693">TODAY()-30</f>
        <v>41092</v>
      </c>
      <c r="AE248" s="25">
        <f t="shared" ca="1" si="693"/>
        <v>41092</v>
      </c>
      <c r="AF248" s="25">
        <v>41067</v>
      </c>
      <c r="AG248" s="59" t="str">
        <f t="shared" ca="1" si="556"/>
        <v>8VA SEM</v>
      </c>
      <c r="AH248" s="8" t="s">
        <v>152</v>
      </c>
      <c r="AI248" s="8"/>
      <c r="AJ248" s="8"/>
      <c r="AK248" s="8"/>
      <c r="AL248" s="8"/>
      <c r="AM248" s="8"/>
      <c r="AN248" s="8"/>
      <c r="AO248" s="8"/>
      <c r="AP248" s="8"/>
      <c r="AQ248" s="8"/>
      <c r="AR248" s="59" t="str">
        <f t="shared" si="605"/>
        <v>SEM 23</v>
      </c>
      <c r="AS248" s="59" t="str">
        <f t="shared" si="606"/>
        <v>JUN</v>
      </c>
      <c r="AT248" s="59">
        <v>44000</v>
      </c>
      <c r="AU248" s="59" t="str">
        <f t="shared" si="534"/>
        <v>ENTRE 35 Y 45 MIL</v>
      </c>
      <c r="AV248" s="66" t="s">
        <v>70</v>
      </c>
      <c r="AW248" s="66" t="s">
        <v>77</v>
      </c>
      <c r="AX248" s="66" t="s">
        <v>82</v>
      </c>
      <c r="AY248" s="66" t="s">
        <v>174</v>
      </c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59"/>
      <c r="BL248" s="59"/>
      <c r="BM248" s="59"/>
      <c r="BN248" s="164"/>
      <c r="BO248" s="165"/>
      <c r="BP248" s="165"/>
      <c r="BQ248" s="165"/>
      <c r="BR248" s="59"/>
      <c r="BS248" s="59"/>
      <c r="BT248" s="59"/>
      <c r="BU248" s="59"/>
      <c r="BV248" s="59"/>
      <c r="BW248" s="59"/>
      <c r="BX248" s="59"/>
      <c r="BY248" s="59"/>
      <c r="BZ248" s="59" t="str">
        <f t="shared" si="536"/>
        <v>NA</v>
      </c>
      <c r="CA248" s="59" t="str">
        <f t="shared" si="537"/>
        <v/>
      </c>
      <c r="CB248" s="59" t="str">
        <f t="shared" si="538"/>
        <v>NA</v>
      </c>
      <c r="CC248" s="59" t="str">
        <f t="shared" si="539"/>
        <v/>
      </c>
      <c r="CD248" s="59" t="str">
        <f t="shared" si="540"/>
        <v>NA</v>
      </c>
      <c r="CE248" s="59" t="str">
        <f t="shared" si="541"/>
        <v/>
      </c>
      <c r="CF248" s="59"/>
      <c r="CG248" s="59"/>
      <c r="CH248" s="59"/>
      <c r="CI248" s="59" t="str">
        <f t="shared" ca="1" si="545"/>
        <v>30 DIAS</v>
      </c>
      <c r="CJ248" s="59" t="str">
        <f t="shared" ca="1" si="546"/>
        <v>30 DIAS</v>
      </c>
      <c r="CK248" s="59" t="str">
        <f t="shared" ca="1" si="547"/>
        <v>30 DIAS</v>
      </c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>
        <f t="shared" si="559"/>
        <v>0</v>
      </c>
      <c r="DH248" s="8">
        <f t="shared" si="560"/>
        <v>0</v>
      </c>
      <c r="DI248" s="8">
        <f t="shared" si="561"/>
        <v>0</v>
      </c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56">
        <f t="shared" si="548"/>
        <v>0</v>
      </c>
    </row>
    <row r="249" spans="1:154" x14ac:dyDescent="0.25">
      <c r="A249" s="2"/>
      <c r="B249" s="2"/>
      <c r="C249" s="2"/>
      <c r="D249" s="2"/>
      <c r="E249" s="2"/>
      <c r="F249" s="2"/>
      <c r="G249" s="11"/>
      <c r="H249" s="4"/>
      <c r="I249" s="4"/>
      <c r="J249" s="9"/>
      <c r="K249" s="9"/>
      <c r="L249" s="10"/>
      <c r="M249" s="24"/>
      <c r="N249" s="7"/>
      <c r="O249" s="8"/>
      <c r="P249" s="25"/>
      <c r="Q249" s="8"/>
      <c r="R249" s="26"/>
      <c r="S249" s="8"/>
      <c r="T249" s="8"/>
      <c r="U249" s="8"/>
      <c r="V249" s="7"/>
      <c r="W249" s="7"/>
      <c r="X249" s="7"/>
      <c r="Y249" s="7"/>
      <c r="Z249" s="7"/>
      <c r="AA249" s="148"/>
      <c r="AB249" s="148"/>
      <c r="AC249" s="25">
        <f ca="1">TODAY()-34</f>
        <v>41088</v>
      </c>
      <c r="AD249" s="25">
        <f t="shared" ref="AD249:AE249" ca="1" si="694">TODAY()-34</f>
        <v>41088</v>
      </c>
      <c r="AE249" s="25">
        <f t="shared" ca="1" si="694"/>
        <v>41088</v>
      </c>
      <c r="AF249" s="25">
        <v>41067</v>
      </c>
      <c r="AG249" s="59" t="str">
        <f t="shared" ca="1" si="556"/>
        <v>8VA SEM</v>
      </c>
      <c r="AH249" s="8" t="s">
        <v>153</v>
      </c>
      <c r="AI249" s="8"/>
      <c r="AJ249" s="8"/>
      <c r="AK249" s="8"/>
      <c r="AL249" s="8"/>
      <c r="AM249" s="8"/>
      <c r="AN249" s="8"/>
      <c r="AO249" s="8"/>
      <c r="AP249" s="8"/>
      <c r="AQ249" s="8"/>
      <c r="AR249" s="59" t="str">
        <f t="shared" si="605"/>
        <v>SEM 23</v>
      </c>
      <c r="AS249" s="59" t="str">
        <f t="shared" si="606"/>
        <v>JUN</v>
      </c>
      <c r="AT249" s="59">
        <v>17000</v>
      </c>
      <c r="AU249" s="59" t="str">
        <f t="shared" si="534"/>
        <v>ENTRE 12 Y 18 MIL</v>
      </c>
      <c r="AV249" s="66" t="s">
        <v>71</v>
      </c>
      <c r="AW249" s="66" t="s">
        <v>77</v>
      </c>
      <c r="AX249" s="66" t="s">
        <v>82</v>
      </c>
      <c r="AY249" s="66" t="s">
        <v>175</v>
      </c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59"/>
      <c r="BL249" s="59"/>
      <c r="BM249" s="59"/>
      <c r="BN249" s="164"/>
      <c r="BO249" s="165"/>
      <c r="BP249" s="165"/>
      <c r="BQ249" s="165"/>
      <c r="BR249" s="59"/>
      <c r="BS249" s="59"/>
      <c r="BT249" s="59"/>
      <c r="BU249" s="59"/>
      <c r="BV249" s="59"/>
      <c r="BW249" s="59"/>
      <c r="BX249" s="59"/>
      <c r="BY249" s="59"/>
      <c r="BZ249" s="59" t="str">
        <f t="shared" si="536"/>
        <v>NA</v>
      </c>
      <c r="CA249" s="59" t="str">
        <f t="shared" si="537"/>
        <v/>
      </c>
      <c r="CB249" s="59" t="str">
        <f t="shared" si="538"/>
        <v>NA</v>
      </c>
      <c r="CC249" s="59" t="str">
        <f t="shared" si="539"/>
        <v/>
      </c>
      <c r="CD249" s="59" t="str">
        <f t="shared" si="540"/>
        <v>NA</v>
      </c>
      <c r="CE249" s="59" t="str">
        <f t="shared" si="541"/>
        <v/>
      </c>
      <c r="CF249" s="59"/>
      <c r="CG249" s="59"/>
      <c r="CH249" s="59"/>
      <c r="CI249" s="59" t="str">
        <f t="shared" ca="1" si="545"/>
        <v>DE 31 A 35 DIAS</v>
      </c>
      <c r="CJ249" s="59" t="str">
        <f t="shared" ca="1" si="546"/>
        <v>DE 31 A 35 DIAS</v>
      </c>
      <c r="CK249" s="59" t="str">
        <f t="shared" ca="1" si="547"/>
        <v>DE 31 A 35 DIAS</v>
      </c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>
        <f t="shared" si="559"/>
        <v>0</v>
      </c>
      <c r="DH249" s="8">
        <f t="shared" si="560"/>
        <v>0</v>
      </c>
      <c r="DI249" s="8">
        <f t="shared" si="561"/>
        <v>0</v>
      </c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56">
        <f t="shared" si="548"/>
        <v>0</v>
      </c>
    </row>
    <row r="250" spans="1:154" x14ac:dyDescent="0.25">
      <c r="A250" s="2"/>
      <c r="B250" s="2"/>
      <c r="C250" s="2"/>
      <c r="D250" s="2"/>
      <c r="E250" s="2"/>
      <c r="F250" s="2"/>
      <c r="G250" s="11"/>
      <c r="H250" s="4"/>
      <c r="I250" s="4"/>
      <c r="J250" s="9"/>
      <c r="K250" s="9"/>
      <c r="L250" s="10"/>
      <c r="M250" s="24"/>
      <c r="N250" s="7"/>
      <c r="O250" s="8"/>
      <c r="P250" s="25"/>
      <c r="Q250" s="8"/>
      <c r="R250" s="26"/>
      <c r="S250" s="8"/>
      <c r="T250" s="8"/>
      <c r="U250" s="8"/>
      <c r="V250" s="7"/>
      <c r="W250" s="7"/>
      <c r="X250" s="7"/>
      <c r="Y250" s="7"/>
      <c r="Z250" s="7"/>
      <c r="AA250" s="148"/>
      <c r="AB250" s="148"/>
      <c r="AC250" s="25">
        <f ca="1">TODAY()-39</f>
        <v>41083</v>
      </c>
      <c r="AD250" s="25">
        <f t="shared" ref="AD250:AE250" ca="1" si="695">TODAY()-39</f>
        <v>41083</v>
      </c>
      <c r="AE250" s="25">
        <f t="shared" ca="1" si="695"/>
        <v>41083</v>
      </c>
      <c r="AF250" s="25">
        <v>41067</v>
      </c>
      <c r="AG250" s="59" t="str">
        <f t="shared" ca="1" si="556"/>
        <v>8VA SEM</v>
      </c>
      <c r="AH250" s="8" t="s">
        <v>154</v>
      </c>
      <c r="AI250" s="8"/>
      <c r="AJ250" s="8"/>
      <c r="AK250" s="8"/>
      <c r="AL250" s="8"/>
      <c r="AM250" s="8"/>
      <c r="AN250" s="8"/>
      <c r="AO250" s="8"/>
      <c r="AP250" s="8"/>
      <c r="AQ250" s="8"/>
      <c r="AR250" s="59" t="str">
        <f t="shared" si="605"/>
        <v>SEM 23</v>
      </c>
      <c r="AS250" s="59" t="str">
        <f t="shared" si="606"/>
        <v>JUN</v>
      </c>
      <c r="AT250" s="59">
        <v>23000</v>
      </c>
      <c r="AU250" s="59" t="str">
        <f t="shared" si="534"/>
        <v>ENTRE 18 Y 25 MIL</v>
      </c>
      <c r="AV250" s="66" t="s">
        <v>71</v>
      </c>
      <c r="AW250" s="66" t="s">
        <v>77</v>
      </c>
      <c r="AX250" s="66" t="s">
        <v>79</v>
      </c>
      <c r="AY250" s="66" t="s">
        <v>175</v>
      </c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59"/>
      <c r="BL250" s="59"/>
      <c r="BM250" s="59"/>
      <c r="BN250" s="164"/>
      <c r="BO250" s="165"/>
      <c r="BP250" s="165"/>
      <c r="BQ250" s="165"/>
      <c r="BR250" s="59"/>
      <c r="BS250" s="59"/>
      <c r="BT250" s="59"/>
      <c r="BU250" s="59"/>
      <c r="BV250" s="59"/>
      <c r="BW250" s="59"/>
      <c r="BX250" s="59"/>
      <c r="BY250" s="59"/>
      <c r="BZ250" s="59" t="str">
        <f t="shared" si="536"/>
        <v>NA</v>
      </c>
      <c r="CA250" s="59" t="str">
        <f t="shared" si="537"/>
        <v/>
      </c>
      <c r="CB250" s="59" t="str">
        <f t="shared" si="538"/>
        <v>NA</v>
      </c>
      <c r="CC250" s="59" t="str">
        <f t="shared" si="539"/>
        <v/>
      </c>
      <c r="CD250" s="59" t="str">
        <f t="shared" si="540"/>
        <v>NA</v>
      </c>
      <c r="CE250" s="59" t="str">
        <f t="shared" si="541"/>
        <v/>
      </c>
      <c r="CF250" s="59"/>
      <c r="CG250" s="59"/>
      <c r="CH250" s="59"/>
      <c r="CI250" s="59" t="str">
        <f t="shared" ca="1" si="545"/>
        <v>DE 36 A 45 DIAS</v>
      </c>
      <c r="CJ250" s="59" t="str">
        <f t="shared" ca="1" si="546"/>
        <v>DE 36 A 45 DIAS</v>
      </c>
      <c r="CK250" s="59" t="str">
        <f t="shared" ca="1" si="547"/>
        <v>DE 36 A 45 DIAS</v>
      </c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>
        <f t="shared" si="559"/>
        <v>0</v>
      </c>
      <c r="DH250" s="8">
        <f t="shared" si="560"/>
        <v>0</v>
      </c>
      <c r="DI250" s="8">
        <f t="shared" si="561"/>
        <v>0</v>
      </c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56">
        <f t="shared" si="548"/>
        <v>0</v>
      </c>
    </row>
    <row r="251" spans="1:154" x14ac:dyDescent="0.25">
      <c r="A251" s="2"/>
      <c r="B251" s="2"/>
      <c r="C251" s="2"/>
      <c r="D251" s="2"/>
      <c r="E251" s="2"/>
      <c r="F251" s="2"/>
      <c r="G251" s="11"/>
      <c r="H251" s="4"/>
      <c r="I251" s="4"/>
      <c r="J251" s="9"/>
      <c r="K251" s="9"/>
      <c r="L251" s="10"/>
      <c r="M251" s="24"/>
      <c r="N251" s="7"/>
      <c r="O251" s="8"/>
      <c r="P251" s="25"/>
      <c r="Q251" s="8"/>
      <c r="R251" s="26"/>
      <c r="S251" s="8"/>
      <c r="T251" s="8"/>
      <c r="U251" s="8"/>
      <c r="V251" s="7"/>
      <c r="W251" s="7"/>
      <c r="X251" s="7"/>
      <c r="Y251" s="7"/>
      <c r="Z251" s="7"/>
      <c r="AA251" s="148"/>
      <c r="AB251" s="148"/>
      <c r="AC251" s="25">
        <f ca="1">TODAY()-45</f>
        <v>41077</v>
      </c>
      <c r="AD251" s="25">
        <f t="shared" ref="AD251:AE251" ca="1" si="696">TODAY()-45</f>
        <v>41077</v>
      </c>
      <c r="AE251" s="25">
        <f t="shared" ca="1" si="696"/>
        <v>41077</v>
      </c>
      <c r="AF251" s="25">
        <v>41091</v>
      </c>
      <c r="AG251" s="59" t="str">
        <f t="shared" ca="1" si="556"/>
        <v>5TA SEM</v>
      </c>
      <c r="AH251" s="8" t="s">
        <v>155</v>
      </c>
      <c r="AI251" s="8"/>
      <c r="AJ251" s="8"/>
      <c r="AK251" s="8"/>
      <c r="AL251" s="8"/>
      <c r="AM251" s="8"/>
      <c r="AN251" s="8"/>
      <c r="AO251" s="8"/>
      <c r="AP251" s="8"/>
      <c r="AQ251" s="8"/>
      <c r="AR251" s="59" t="str">
        <f t="shared" si="605"/>
        <v>SEM 27</v>
      </c>
      <c r="AS251" s="59" t="str">
        <f t="shared" si="606"/>
        <v>JUL</v>
      </c>
      <c r="AT251" s="59">
        <v>12000</v>
      </c>
      <c r="AU251" s="59" t="str">
        <f t="shared" si="534"/>
        <v>HASTA 12 MIL</v>
      </c>
      <c r="AV251" s="66" t="s">
        <v>147</v>
      </c>
      <c r="AW251" s="66" t="s">
        <v>76</v>
      </c>
      <c r="AX251" s="66" t="s">
        <v>79</v>
      </c>
      <c r="AY251" s="66" t="s">
        <v>175</v>
      </c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59"/>
      <c r="BL251" s="59"/>
      <c r="BM251" s="59"/>
      <c r="BN251" s="164"/>
      <c r="BO251" s="165"/>
      <c r="BP251" s="165"/>
      <c r="BQ251" s="165"/>
      <c r="BR251" s="59"/>
      <c r="BS251" s="59"/>
      <c r="BT251" s="59"/>
      <c r="BU251" s="59"/>
      <c r="BV251" s="59"/>
      <c r="BW251" s="59"/>
      <c r="BX251" s="59"/>
      <c r="BY251" s="59"/>
      <c r="BZ251" s="59" t="str">
        <f t="shared" si="536"/>
        <v>NA</v>
      </c>
      <c r="CA251" s="59" t="str">
        <f t="shared" si="537"/>
        <v/>
      </c>
      <c r="CB251" s="59" t="str">
        <f t="shared" si="538"/>
        <v>NA</v>
      </c>
      <c r="CC251" s="59" t="str">
        <f t="shared" si="539"/>
        <v/>
      </c>
      <c r="CD251" s="59" t="str">
        <f t="shared" si="540"/>
        <v>NA</v>
      </c>
      <c r="CE251" s="59" t="str">
        <f t="shared" si="541"/>
        <v/>
      </c>
      <c r="CF251" s="59"/>
      <c r="CG251" s="59"/>
      <c r="CH251" s="59"/>
      <c r="CI251" s="59" t="str">
        <f t="shared" ca="1" si="545"/>
        <v>DE 36 A 45 DIAS</v>
      </c>
      <c r="CJ251" s="59" t="str">
        <f t="shared" ca="1" si="546"/>
        <v>DE 36 A 45 DIAS</v>
      </c>
      <c r="CK251" s="59" t="str">
        <f t="shared" ca="1" si="547"/>
        <v>DE 36 A 45 DIAS</v>
      </c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>
        <f t="shared" si="559"/>
        <v>0</v>
      </c>
      <c r="DH251" s="8">
        <f t="shared" si="560"/>
        <v>0</v>
      </c>
      <c r="DI251" s="8">
        <f t="shared" si="561"/>
        <v>0</v>
      </c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56">
        <f t="shared" si="548"/>
        <v>0</v>
      </c>
    </row>
    <row r="252" spans="1:154" x14ac:dyDescent="0.25">
      <c r="A252" s="2"/>
      <c r="B252" s="2"/>
      <c r="C252" s="2"/>
      <c r="D252" s="2"/>
      <c r="E252" s="2"/>
      <c r="F252" s="2"/>
      <c r="G252" s="11"/>
      <c r="H252" s="4"/>
      <c r="I252" s="4"/>
      <c r="J252" s="9"/>
      <c r="K252" s="9"/>
      <c r="L252" s="10"/>
      <c r="M252" s="24"/>
      <c r="N252" s="7"/>
      <c r="O252" s="8"/>
      <c r="P252" s="25"/>
      <c r="Q252" s="8"/>
      <c r="R252" s="26"/>
      <c r="S252" s="8"/>
      <c r="T252" s="8"/>
      <c r="U252" s="8"/>
      <c r="V252" s="7"/>
      <c r="W252" s="7"/>
      <c r="X252" s="7"/>
      <c r="Y252" s="7"/>
      <c r="Z252" s="7"/>
      <c r="AA252" s="148"/>
      <c r="AB252" s="148"/>
      <c r="AC252" s="25">
        <f ca="1">TODAY()-50</f>
        <v>41072</v>
      </c>
      <c r="AD252" s="25">
        <f t="shared" ref="AD252:AE252" ca="1" si="697">TODAY()-50</f>
        <v>41072</v>
      </c>
      <c r="AE252" s="25">
        <f t="shared" ca="1" si="697"/>
        <v>41072</v>
      </c>
      <c r="AF252" s="25">
        <v>41091</v>
      </c>
      <c r="AG252" s="59" t="str">
        <f t="shared" ca="1" si="556"/>
        <v>5TA SEM</v>
      </c>
      <c r="AH252" s="8" t="s">
        <v>156</v>
      </c>
      <c r="AI252" s="8"/>
      <c r="AJ252" s="8"/>
      <c r="AK252" s="8"/>
      <c r="AL252" s="8"/>
      <c r="AM252" s="8"/>
      <c r="AN252" s="8"/>
      <c r="AO252" s="8"/>
      <c r="AP252" s="8"/>
      <c r="AQ252" s="8"/>
      <c r="AR252" s="59" t="str">
        <f t="shared" si="605"/>
        <v>SEM 27</v>
      </c>
      <c r="AS252" s="59" t="str">
        <f t="shared" si="606"/>
        <v>JUL</v>
      </c>
      <c r="AT252" s="59">
        <v>12000</v>
      </c>
      <c r="AU252" s="59" t="str">
        <f t="shared" si="534"/>
        <v>HASTA 12 MIL</v>
      </c>
      <c r="AV252" s="66" t="s">
        <v>147</v>
      </c>
      <c r="AW252" s="66" t="s">
        <v>76</v>
      </c>
      <c r="AX252" s="66" t="s">
        <v>79</v>
      </c>
      <c r="AY252" s="66" t="s">
        <v>173</v>
      </c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59"/>
      <c r="BL252" s="59"/>
      <c r="BM252" s="59"/>
      <c r="BN252" s="164"/>
      <c r="BO252" s="165"/>
      <c r="BP252" s="165"/>
      <c r="BQ252" s="165"/>
      <c r="BR252" s="59"/>
      <c r="BS252" s="59"/>
      <c r="BT252" s="59"/>
      <c r="BU252" s="59"/>
      <c r="BV252" s="59"/>
      <c r="BW252" s="59"/>
      <c r="BX252" s="59"/>
      <c r="BY252" s="59"/>
      <c r="BZ252" s="59" t="str">
        <f t="shared" si="536"/>
        <v>NA</v>
      </c>
      <c r="CA252" s="59" t="str">
        <f t="shared" si="537"/>
        <v/>
      </c>
      <c r="CB252" s="59" t="str">
        <f t="shared" si="538"/>
        <v>NA</v>
      </c>
      <c r="CC252" s="59" t="str">
        <f t="shared" si="539"/>
        <v/>
      </c>
      <c r="CD252" s="59" t="str">
        <f t="shared" si="540"/>
        <v>NA</v>
      </c>
      <c r="CE252" s="59" t="str">
        <f t="shared" si="541"/>
        <v/>
      </c>
      <c r="CF252" s="59"/>
      <c r="CG252" s="59"/>
      <c r="CH252" s="59"/>
      <c r="CI252" s="59" t="str">
        <f t="shared" ca="1" si="545"/>
        <v>MAYOR A 45 DIAS</v>
      </c>
      <c r="CJ252" s="59" t="str">
        <f t="shared" ca="1" si="546"/>
        <v>MAYOR A 45 DIAS</v>
      </c>
      <c r="CK252" s="59" t="str">
        <f t="shared" ca="1" si="547"/>
        <v>MAYOR A 45 DIAS</v>
      </c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>
        <f t="shared" si="559"/>
        <v>0</v>
      </c>
      <c r="DH252" s="8">
        <f t="shared" si="560"/>
        <v>0</v>
      </c>
      <c r="DI252" s="8">
        <f t="shared" si="561"/>
        <v>0</v>
      </c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56">
        <f t="shared" si="548"/>
        <v>0</v>
      </c>
    </row>
    <row r="253" spans="1:154" x14ac:dyDescent="0.25">
      <c r="A253" s="2"/>
      <c r="B253" s="2"/>
      <c r="C253" s="2"/>
      <c r="D253" s="2"/>
      <c r="E253" s="2"/>
      <c r="F253" s="2"/>
      <c r="G253" s="11"/>
      <c r="H253" s="4"/>
      <c r="I253" s="4"/>
      <c r="J253" s="9"/>
      <c r="K253" s="9"/>
      <c r="L253" s="10"/>
      <c r="M253" s="24"/>
      <c r="N253" s="7"/>
      <c r="O253" s="8"/>
      <c r="P253" s="25"/>
      <c r="Q253" s="8"/>
      <c r="R253" s="26"/>
      <c r="S253" s="8"/>
      <c r="T253" s="8"/>
      <c r="U253" s="8"/>
      <c r="V253" s="7"/>
      <c r="W253" s="7"/>
      <c r="X253" s="7"/>
      <c r="Y253" s="7"/>
      <c r="Z253" s="7"/>
      <c r="AA253" s="148"/>
      <c r="AB253" s="148"/>
      <c r="AC253" s="25">
        <f ca="1">TODAY()-4</f>
        <v>41118</v>
      </c>
      <c r="AD253" s="25">
        <f t="shared" ref="AD253:AE253" ca="1" si="698">TODAY()-4</f>
        <v>41118</v>
      </c>
      <c r="AE253" s="25">
        <f t="shared" ca="1" si="698"/>
        <v>41118</v>
      </c>
      <c r="AF253" s="25">
        <v>41013</v>
      </c>
      <c r="AG253" s="59" t="str">
        <f t="shared" ca="1" si="556"/>
        <v>MAYOR A 2 MESES</v>
      </c>
      <c r="AH253" s="8" t="s">
        <v>157</v>
      </c>
      <c r="AI253" s="8"/>
      <c r="AJ253" s="8"/>
      <c r="AK253" s="8"/>
      <c r="AL253" s="8"/>
      <c r="AM253" s="8"/>
      <c r="AN253" s="8"/>
      <c r="AO253" s="8"/>
      <c r="AP253" s="8"/>
      <c r="AQ253" s="8"/>
      <c r="AR253" s="59" t="str">
        <f t="shared" si="605"/>
        <v>SEM 15</v>
      </c>
      <c r="AS253" s="59" t="str">
        <f t="shared" si="606"/>
        <v>ABR</v>
      </c>
      <c r="AT253" s="59">
        <v>8500</v>
      </c>
      <c r="AU253" s="59" t="str">
        <f t="shared" si="534"/>
        <v>HASTA 12 MIL</v>
      </c>
      <c r="AV253" s="66" t="s">
        <v>148</v>
      </c>
      <c r="AW253" s="66" t="s">
        <v>76</v>
      </c>
      <c r="AX253" s="66" t="s">
        <v>79</v>
      </c>
      <c r="AY253" s="66" t="s">
        <v>173</v>
      </c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59"/>
      <c r="BL253" s="59"/>
      <c r="BM253" s="59"/>
      <c r="BN253" s="164"/>
      <c r="BO253" s="165"/>
      <c r="BP253" s="165"/>
      <c r="BQ253" s="165"/>
      <c r="BR253" s="59"/>
      <c r="BS253" s="59"/>
      <c r="BT253" s="59"/>
      <c r="BU253" s="59"/>
      <c r="BV253" s="59"/>
      <c r="BW253" s="59"/>
      <c r="BX253" s="59"/>
      <c r="BY253" s="59"/>
      <c r="BZ253" s="59" t="str">
        <f t="shared" si="536"/>
        <v>NA</v>
      </c>
      <c r="CA253" s="59" t="str">
        <f t="shared" si="537"/>
        <v/>
      </c>
      <c r="CB253" s="59" t="str">
        <f t="shared" si="538"/>
        <v>NA</v>
      </c>
      <c r="CC253" s="59" t="str">
        <f t="shared" si="539"/>
        <v/>
      </c>
      <c r="CD253" s="59" t="str">
        <f t="shared" si="540"/>
        <v>NA</v>
      </c>
      <c r="CE253" s="59" t="str">
        <f t="shared" si="541"/>
        <v/>
      </c>
      <c r="CF253" s="59"/>
      <c r="CG253" s="59"/>
      <c r="CH253" s="59"/>
      <c r="CI253" s="59" t="str">
        <f t="shared" ca="1" si="545"/>
        <v>HASTA 5 DIAS</v>
      </c>
      <c r="CJ253" s="59" t="str">
        <f t="shared" ca="1" si="546"/>
        <v>HASTA 5 DIAS</v>
      </c>
      <c r="CK253" s="59" t="str">
        <f t="shared" ca="1" si="547"/>
        <v>HASTA 5 DIAS</v>
      </c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>
        <f t="shared" si="559"/>
        <v>0</v>
      </c>
      <c r="DH253" s="8">
        <f t="shared" si="560"/>
        <v>0</v>
      </c>
      <c r="DI253" s="8">
        <f t="shared" si="561"/>
        <v>0</v>
      </c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56">
        <f t="shared" si="548"/>
        <v>0</v>
      </c>
    </row>
    <row r="254" spans="1:154" x14ac:dyDescent="0.25">
      <c r="A254" s="2"/>
      <c r="B254" s="2"/>
      <c r="C254" s="2"/>
      <c r="D254" s="2"/>
      <c r="E254" s="2"/>
      <c r="F254" s="2"/>
      <c r="G254" s="11"/>
      <c r="H254" s="4"/>
      <c r="I254" s="4"/>
      <c r="J254" s="9"/>
      <c r="K254" s="9"/>
      <c r="L254" s="10"/>
      <c r="M254" s="24"/>
      <c r="N254" s="7"/>
      <c r="O254" s="8"/>
      <c r="P254" s="25"/>
      <c r="Q254" s="8"/>
      <c r="R254" s="26"/>
      <c r="S254" s="8"/>
      <c r="T254" s="8"/>
      <c r="U254" s="8"/>
      <c r="V254" s="7"/>
      <c r="W254" s="7"/>
      <c r="X254" s="7"/>
      <c r="Y254" s="7"/>
      <c r="Z254" s="7"/>
      <c r="AA254" s="148"/>
      <c r="AB254" s="148"/>
      <c r="AC254" s="25">
        <f ca="1">TODAY()-9</f>
        <v>41113</v>
      </c>
      <c r="AD254" s="25">
        <f t="shared" ref="AD254:AE254" ca="1" si="699">TODAY()-9</f>
        <v>41113</v>
      </c>
      <c r="AE254" s="25">
        <f t="shared" ca="1" si="699"/>
        <v>41113</v>
      </c>
      <c r="AF254" s="25">
        <v>41013</v>
      </c>
      <c r="AG254" s="59" t="str">
        <f t="shared" ca="1" si="556"/>
        <v>MAYOR A 2 MESES</v>
      </c>
      <c r="AH254" s="8" t="s">
        <v>158</v>
      </c>
      <c r="AI254" s="8"/>
      <c r="AJ254" s="8"/>
      <c r="AK254" s="8"/>
      <c r="AL254" s="8"/>
      <c r="AM254" s="8"/>
      <c r="AN254" s="8"/>
      <c r="AO254" s="8"/>
      <c r="AP254" s="8"/>
      <c r="AQ254" s="8"/>
      <c r="AR254" s="59" t="str">
        <f t="shared" si="605"/>
        <v>SEM 15</v>
      </c>
      <c r="AS254" s="59" t="str">
        <f t="shared" si="606"/>
        <v>ABR</v>
      </c>
      <c r="AT254" s="59">
        <v>14500</v>
      </c>
      <c r="AU254" s="59" t="str">
        <f t="shared" si="534"/>
        <v>ENTRE 12 Y 18 MIL</v>
      </c>
      <c r="AV254" s="66" t="s">
        <v>148</v>
      </c>
      <c r="AW254" s="66" t="s">
        <v>150</v>
      </c>
      <c r="AX254" s="66" t="s">
        <v>79</v>
      </c>
      <c r="AY254" s="66" t="s">
        <v>173</v>
      </c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59"/>
      <c r="BL254" s="59"/>
      <c r="BM254" s="59"/>
      <c r="BN254" s="164"/>
      <c r="BO254" s="165"/>
      <c r="BP254" s="165"/>
      <c r="BQ254" s="165"/>
      <c r="BR254" s="59"/>
      <c r="BS254" s="59"/>
      <c r="BT254" s="59"/>
      <c r="BU254" s="59"/>
      <c r="BV254" s="59"/>
      <c r="BW254" s="59"/>
      <c r="BX254" s="59"/>
      <c r="BY254" s="59"/>
      <c r="BZ254" s="59" t="str">
        <f t="shared" si="536"/>
        <v>NA</v>
      </c>
      <c r="CA254" s="59" t="str">
        <f t="shared" si="537"/>
        <v/>
      </c>
      <c r="CB254" s="59" t="str">
        <f t="shared" si="538"/>
        <v>NA</v>
      </c>
      <c r="CC254" s="59" t="str">
        <f t="shared" si="539"/>
        <v/>
      </c>
      <c r="CD254" s="59" t="str">
        <f t="shared" si="540"/>
        <v>NA</v>
      </c>
      <c r="CE254" s="59" t="str">
        <f t="shared" si="541"/>
        <v/>
      </c>
      <c r="CF254" s="59"/>
      <c r="CG254" s="59"/>
      <c r="CH254" s="59"/>
      <c r="CI254" s="59" t="str">
        <f t="shared" ca="1" si="545"/>
        <v>DE 6 A 10 DIAS</v>
      </c>
      <c r="CJ254" s="59" t="str">
        <f t="shared" ca="1" si="546"/>
        <v>DE 6 A 10 DIAS</v>
      </c>
      <c r="CK254" s="59" t="str">
        <f t="shared" ca="1" si="547"/>
        <v>DE 6 A 10 DIAS</v>
      </c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>
        <f t="shared" si="559"/>
        <v>0</v>
      </c>
      <c r="DH254" s="8">
        <f t="shared" si="560"/>
        <v>0</v>
      </c>
      <c r="DI254" s="8">
        <f t="shared" si="561"/>
        <v>0</v>
      </c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56">
        <f t="shared" si="548"/>
        <v>0</v>
      </c>
    </row>
    <row r="255" spans="1:154" x14ac:dyDescent="0.25">
      <c r="A255" s="2"/>
      <c r="B255" s="2"/>
      <c r="C255" s="2"/>
      <c r="D255" s="2"/>
      <c r="E255" s="2"/>
      <c r="F255" s="2"/>
      <c r="G255" s="11"/>
      <c r="H255" s="4"/>
      <c r="I255" s="4"/>
      <c r="J255" s="9"/>
      <c r="K255" s="9"/>
      <c r="L255" s="10"/>
      <c r="M255" s="24"/>
      <c r="N255" s="7"/>
      <c r="O255" s="8"/>
      <c r="P255" s="25"/>
      <c r="Q255" s="8"/>
      <c r="R255" s="26"/>
      <c r="S255" s="8"/>
      <c r="T255" s="8"/>
      <c r="U255" s="8"/>
      <c r="V255" s="7"/>
      <c r="W255" s="7"/>
      <c r="X255" s="7"/>
      <c r="Y255" s="7"/>
      <c r="Z255" s="7"/>
      <c r="AA255" s="148"/>
      <c r="AB255" s="148"/>
      <c r="AC255" s="25">
        <f ca="1">TODAY()-14</f>
        <v>41108</v>
      </c>
      <c r="AD255" s="25">
        <f t="shared" ref="AD255:AE255" ca="1" si="700">TODAY()-14</f>
        <v>41108</v>
      </c>
      <c r="AE255" s="25">
        <f t="shared" ca="1" si="700"/>
        <v>41108</v>
      </c>
      <c r="AF255" s="25">
        <v>41019</v>
      </c>
      <c r="AG255" s="59" t="str">
        <f t="shared" ca="1" si="556"/>
        <v>MAYOR A 2 MESES</v>
      </c>
      <c r="AH255" s="8" t="s">
        <v>159</v>
      </c>
      <c r="AI255" s="8"/>
      <c r="AJ255" s="8"/>
      <c r="AK255" s="8"/>
      <c r="AL255" s="8"/>
      <c r="AM255" s="8"/>
      <c r="AN255" s="8"/>
      <c r="AO255" s="8"/>
      <c r="AP255" s="8"/>
      <c r="AQ255" s="8"/>
      <c r="AR255" s="59" t="str">
        <f t="shared" si="605"/>
        <v>SEM 16</v>
      </c>
      <c r="AS255" s="59" t="str">
        <f t="shared" si="606"/>
        <v>ABR</v>
      </c>
      <c r="AT255" s="59">
        <v>17000</v>
      </c>
      <c r="AU255" s="59" t="str">
        <f t="shared" si="534"/>
        <v>ENTRE 12 Y 18 MIL</v>
      </c>
      <c r="AV255" s="66" t="s">
        <v>71</v>
      </c>
      <c r="AW255" s="66" t="s">
        <v>150</v>
      </c>
      <c r="AX255" s="66" t="s">
        <v>82</v>
      </c>
      <c r="AY255" s="66" t="s">
        <v>173</v>
      </c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59"/>
      <c r="BL255" s="59"/>
      <c r="BM255" s="59"/>
      <c r="BN255" s="164"/>
      <c r="BO255" s="165"/>
      <c r="BP255" s="165"/>
      <c r="BQ255" s="165"/>
      <c r="BR255" s="59"/>
      <c r="BS255" s="59"/>
      <c r="BT255" s="59"/>
      <c r="BU255" s="59"/>
      <c r="BV255" s="59"/>
      <c r="BW255" s="59"/>
      <c r="BX255" s="59"/>
      <c r="BY255" s="59"/>
      <c r="BZ255" s="59" t="str">
        <f t="shared" si="536"/>
        <v>NA</v>
      </c>
      <c r="CA255" s="59" t="str">
        <f t="shared" si="537"/>
        <v/>
      </c>
      <c r="CB255" s="59" t="str">
        <f t="shared" si="538"/>
        <v>NA</v>
      </c>
      <c r="CC255" s="59" t="str">
        <f t="shared" si="539"/>
        <v/>
      </c>
      <c r="CD255" s="59" t="str">
        <f t="shared" si="540"/>
        <v>NA</v>
      </c>
      <c r="CE255" s="59" t="str">
        <f t="shared" si="541"/>
        <v/>
      </c>
      <c r="CF255" s="59"/>
      <c r="CG255" s="59"/>
      <c r="CH255" s="59"/>
      <c r="CI255" s="59" t="str">
        <f t="shared" ca="1" si="545"/>
        <v>DE 11 A 15 DIAS</v>
      </c>
      <c r="CJ255" s="59" t="str">
        <f t="shared" ca="1" si="546"/>
        <v>DE 11 A 15 DIAS</v>
      </c>
      <c r="CK255" s="59" t="str">
        <f t="shared" ca="1" si="547"/>
        <v>DE 11 A 15 DIAS</v>
      </c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>
        <f t="shared" si="559"/>
        <v>0</v>
      </c>
      <c r="DH255" s="8">
        <f t="shared" si="560"/>
        <v>0</v>
      </c>
      <c r="DI255" s="8">
        <f t="shared" si="561"/>
        <v>0</v>
      </c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56">
        <f t="shared" si="548"/>
        <v>0</v>
      </c>
    </row>
    <row r="256" spans="1:154" x14ac:dyDescent="0.25">
      <c r="A256" s="2"/>
      <c r="B256" s="2"/>
      <c r="C256" s="2"/>
      <c r="D256" s="2"/>
      <c r="E256" s="2"/>
      <c r="F256" s="2"/>
      <c r="G256" s="11"/>
      <c r="H256" s="4"/>
      <c r="I256" s="4"/>
      <c r="J256" s="9"/>
      <c r="K256" s="9"/>
      <c r="L256" s="10"/>
      <c r="M256" s="24"/>
      <c r="N256" s="7"/>
      <c r="O256" s="8"/>
      <c r="P256" s="25"/>
      <c r="Q256" s="8"/>
      <c r="R256" s="26"/>
      <c r="S256" s="8"/>
      <c r="T256" s="8"/>
      <c r="U256" s="8"/>
      <c r="V256" s="7"/>
      <c r="W256" s="7"/>
      <c r="X256" s="7"/>
      <c r="Y256" s="7"/>
      <c r="Z256" s="7"/>
      <c r="AA256" s="7"/>
      <c r="AB256" s="7"/>
      <c r="AC256" s="25">
        <f ca="1">TODAY()-19</f>
        <v>41103</v>
      </c>
      <c r="AD256" s="25">
        <f t="shared" ref="AD256:AE256" ca="1" si="701">TODAY()-19</f>
        <v>41103</v>
      </c>
      <c r="AE256" s="25">
        <f t="shared" ca="1" si="701"/>
        <v>41103</v>
      </c>
      <c r="AF256" s="25">
        <v>41025</v>
      </c>
      <c r="AG256" s="59" t="str">
        <f t="shared" ca="1" si="556"/>
        <v>MAYOR A 2 MESES</v>
      </c>
      <c r="AH256" s="8" t="s">
        <v>123</v>
      </c>
      <c r="AI256" s="8"/>
      <c r="AJ256" s="8"/>
      <c r="AK256" s="8"/>
      <c r="AL256" s="8"/>
      <c r="AM256" s="8"/>
      <c r="AN256" s="8"/>
      <c r="AO256" s="8"/>
      <c r="AP256" s="8"/>
      <c r="AQ256" s="8"/>
      <c r="AR256" s="59" t="str">
        <f t="shared" si="605"/>
        <v>SEM 17</v>
      </c>
      <c r="AS256" s="59" t="str">
        <f t="shared" si="606"/>
        <v>ABR</v>
      </c>
      <c r="AT256" s="59">
        <v>24000</v>
      </c>
      <c r="AU256" s="59" t="str">
        <f t="shared" si="534"/>
        <v>ENTRE 18 Y 25 MIL</v>
      </c>
      <c r="AV256" s="66" t="s">
        <v>70</v>
      </c>
      <c r="AW256" s="66" t="s">
        <v>77</v>
      </c>
      <c r="AX256" s="66" t="s">
        <v>79</v>
      </c>
      <c r="AY256" s="66" t="s">
        <v>174</v>
      </c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59"/>
      <c r="BL256" s="59"/>
      <c r="BM256" s="59"/>
      <c r="BN256" s="164"/>
      <c r="BO256" s="165"/>
      <c r="BP256" s="165"/>
      <c r="BQ256" s="165"/>
      <c r="BR256" s="59"/>
      <c r="BS256" s="59"/>
      <c r="BT256" s="59"/>
      <c r="BU256" s="59"/>
      <c r="BV256" s="59"/>
      <c r="BW256" s="59"/>
      <c r="BX256" s="59"/>
      <c r="BY256" s="59"/>
      <c r="BZ256" s="59" t="str">
        <f t="shared" si="536"/>
        <v>NA</v>
      </c>
      <c r="CA256" s="59" t="str">
        <f t="shared" si="537"/>
        <v/>
      </c>
      <c r="CB256" s="59" t="str">
        <f t="shared" si="538"/>
        <v>NA</v>
      </c>
      <c r="CC256" s="59" t="str">
        <f t="shared" si="539"/>
        <v/>
      </c>
      <c r="CD256" s="59" t="str">
        <f t="shared" si="540"/>
        <v>NA</v>
      </c>
      <c r="CE256" s="59" t="str">
        <f t="shared" si="541"/>
        <v/>
      </c>
      <c r="CF256" s="59"/>
      <c r="CG256" s="59"/>
      <c r="CH256" s="59"/>
      <c r="CI256" s="59" t="str">
        <f t="shared" ca="1" si="545"/>
        <v>DE 16 A 20 DIAS</v>
      </c>
      <c r="CJ256" s="59" t="str">
        <f t="shared" ca="1" si="546"/>
        <v>DE 16 A 20 DIAS</v>
      </c>
      <c r="CK256" s="59" t="str">
        <f t="shared" ca="1" si="547"/>
        <v>DE 16 A 20 DIAS</v>
      </c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>
        <f t="shared" si="559"/>
        <v>0</v>
      </c>
      <c r="DH256" s="8">
        <f t="shared" si="560"/>
        <v>0</v>
      </c>
      <c r="DI256" s="8">
        <f t="shared" si="561"/>
        <v>0</v>
      </c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56">
        <f t="shared" si="548"/>
        <v>0</v>
      </c>
    </row>
    <row r="257" spans="1:154" x14ac:dyDescent="0.25">
      <c r="A257" s="2"/>
      <c r="B257" s="2"/>
      <c r="C257" s="2"/>
      <c r="D257" s="2"/>
      <c r="E257" s="2"/>
      <c r="F257" s="2"/>
      <c r="G257" s="11"/>
      <c r="H257" s="4"/>
      <c r="I257" s="4"/>
      <c r="J257" s="9"/>
      <c r="K257" s="9"/>
      <c r="L257" s="10"/>
      <c r="M257" s="24"/>
      <c r="N257" s="7"/>
      <c r="O257" s="8"/>
      <c r="P257" s="25"/>
      <c r="Q257" s="8"/>
      <c r="R257" s="26"/>
      <c r="S257" s="8"/>
      <c r="T257" s="8"/>
      <c r="U257" s="8"/>
      <c r="V257" s="7"/>
      <c r="W257" s="7"/>
      <c r="X257" s="7"/>
      <c r="Y257" s="7"/>
      <c r="Z257" s="7"/>
      <c r="AA257" s="7"/>
      <c r="AB257" s="7"/>
      <c r="AC257" s="25">
        <f ca="1">TODAY()-25</f>
        <v>41097</v>
      </c>
      <c r="AD257" s="25">
        <f t="shared" ref="AD257:AE257" ca="1" si="702">TODAY()-25</f>
        <v>41097</v>
      </c>
      <c r="AE257" s="25">
        <f t="shared" ca="1" si="702"/>
        <v>41097</v>
      </c>
      <c r="AF257" s="25">
        <v>41031</v>
      </c>
      <c r="AG257" s="59" t="str">
        <f t="shared" ca="1" si="556"/>
        <v>MAYOR A 2 MESES</v>
      </c>
      <c r="AH257" s="8" t="s">
        <v>134</v>
      </c>
      <c r="AI257" s="8"/>
      <c r="AJ257" s="8"/>
      <c r="AK257" s="8"/>
      <c r="AL257" s="8"/>
      <c r="AM257" s="8"/>
      <c r="AN257" s="8"/>
      <c r="AO257" s="8"/>
      <c r="AP257" s="8"/>
      <c r="AQ257" s="8"/>
      <c r="AR257" s="59" t="str">
        <f t="shared" si="605"/>
        <v>SEM 18</v>
      </c>
      <c r="AS257" s="59" t="str">
        <f t="shared" si="606"/>
        <v>MAY</v>
      </c>
      <c r="AT257" s="59">
        <v>80000</v>
      </c>
      <c r="AU257" s="59" t="str">
        <f t="shared" si="534"/>
        <v>MAYOR A 45 MILES</v>
      </c>
      <c r="AV257" s="66" t="s">
        <v>73</v>
      </c>
      <c r="AW257" s="66" t="s">
        <v>76</v>
      </c>
      <c r="AX257" s="66" t="s">
        <v>85</v>
      </c>
      <c r="AY257" s="66" t="s">
        <v>174</v>
      </c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59"/>
      <c r="BL257" s="59"/>
      <c r="BM257" s="59"/>
      <c r="BN257" s="164"/>
      <c r="BO257" s="165"/>
      <c r="BP257" s="165"/>
      <c r="BQ257" s="165"/>
      <c r="BR257" s="59"/>
      <c r="BS257" s="59"/>
      <c r="BT257" s="59"/>
      <c r="BU257" s="59"/>
      <c r="BV257" s="59"/>
      <c r="BW257" s="59"/>
      <c r="BX257" s="59"/>
      <c r="BY257" s="59"/>
      <c r="BZ257" s="59" t="str">
        <f t="shared" si="536"/>
        <v>NA</v>
      </c>
      <c r="CA257" s="59" t="str">
        <f t="shared" si="537"/>
        <v/>
      </c>
      <c r="CB257" s="59" t="str">
        <f t="shared" si="538"/>
        <v>NA</v>
      </c>
      <c r="CC257" s="59" t="str">
        <f t="shared" si="539"/>
        <v/>
      </c>
      <c r="CD257" s="59" t="str">
        <f t="shared" si="540"/>
        <v>NA</v>
      </c>
      <c r="CE257" s="59" t="str">
        <f t="shared" si="541"/>
        <v/>
      </c>
      <c r="CF257" s="59"/>
      <c r="CG257" s="59"/>
      <c r="CH257" s="59"/>
      <c r="CI257" s="59" t="str">
        <f t="shared" ca="1" si="545"/>
        <v>DE 21 A 25 DIAS</v>
      </c>
      <c r="CJ257" s="59" t="str">
        <f t="shared" ca="1" si="546"/>
        <v>DE 21 A 25 DIAS</v>
      </c>
      <c r="CK257" s="59" t="str">
        <f t="shared" ca="1" si="547"/>
        <v>DE 21 A 25 DIAS</v>
      </c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>
        <f t="shared" si="559"/>
        <v>0</v>
      </c>
      <c r="DH257" s="8">
        <f t="shared" si="560"/>
        <v>0</v>
      </c>
      <c r="DI257" s="8">
        <f t="shared" si="561"/>
        <v>0</v>
      </c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56">
        <f t="shared" si="548"/>
        <v>0</v>
      </c>
    </row>
    <row r="258" spans="1:154" x14ac:dyDescent="0.25">
      <c r="A258" s="2"/>
      <c r="B258" s="2"/>
      <c r="C258" s="2"/>
      <c r="D258" s="2"/>
      <c r="E258" s="2"/>
      <c r="F258" s="2"/>
      <c r="G258" s="11"/>
      <c r="H258" s="4"/>
      <c r="I258" s="4"/>
      <c r="J258" s="9"/>
      <c r="K258" s="9"/>
      <c r="L258" s="10"/>
      <c r="M258" s="24"/>
      <c r="N258" s="7"/>
      <c r="O258" s="8"/>
      <c r="P258" s="25"/>
      <c r="Q258" s="8"/>
      <c r="R258" s="26"/>
      <c r="S258" s="8"/>
      <c r="T258" s="8"/>
      <c r="U258" s="8"/>
      <c r="V258" s="7"/>
      <c r="W258" s="7"/>
      <c r="X258" s="7"/>
      <c r="Y258" s="7"/>
      <c r="Z258" s="7"/>
      <c r="AA258" s="7"/>
      <c r="AB258" s="7"/>
      <c r="AC258" s="25">
        <f ca="1">TODAY()-29</f>
        <v>41093</v>
      </c>
      <c r="AD258" s="25">
        <f t="shared" ref="AD258:AE258" ca="1" si="703">TODAY()-29</f>
        <v>41093</v>
      </c>
      <c r="AE258" s="25">
        <f t="shared" ca="1" si="703"/>
        <v>41093</v>
      </c>
      <c r="AF258" s="25">
        <v>41037</v>
      </c>
      <c r="AG258" s="59" t="str">
        <f t="shared" ca="1" si="556"/>
        <v>MAYOR A 2 MESES</v>
      </c>
      <c r="AH258" s="8" t="s">
        <v>135</v>
      </c>
      <c r="AI258" s="8"/>
      <c r="AJ258" s="8"/>
      <c r="AK258" s="8"/>
      <c r="AL258" s="8"/>
      <c r="AM258" s="8"/>
      <c r="AN258" s="8"/>
      <c r="AO258" s="8"/>
      <c r="AP258" s="8"/>
      <c r="AQ258" s="8"/>
      <c r="AR258" s="59" t="str">
        <f t="shared" si="605"/>
        <v>SEM 19</v>
      </c>
      <c r="AS258" s="59" t="str">
        <f t="shared" si="606"/>
        <v>MAY</v>
      </c>
      <c r="AT258" s="59">
        <v>24000</v>
      </c>
      <c r="AU258" s="59" t="str">
        <f t="shared" ref="AU258:AU297" si="704">IF(AT258=0,"ND",(IF(AT258&gt;0,IF(AT258&lt;=12000,"HASTA 12 MIL",""),""))&amp;IF(AT258&gt;12000,IF(AT258&lt;=18000,"ENTRE 12 Y 18 MIL",""),""))&amp;IF(AT258&gt;18000,IF(AT258&lt;=25000,"ENTRE 18 Y 25 MIL",""),"")&amp;IF(AT258&gt;25000,IF(AT258&lt;=35000,"ENTRE 25 Y 35 MIL",""),"")&amp;IF(AT258&gt;35000,IF(AT258&lt;=45000,"ENTRE 35 Y 45 MIL",""),"")&amp;IF(AT258&gt;45000,"MAYOR A 45 MILES","")</f>
        <v>ENTRE 18 Y 25 MIL</v>
      </c>
      <c r="AV258" s="66" t="s">
        <v>73</v>
      </c>
      <c r="AW258" s="66" t="s">
        <v>78</v>
      </c>
      <c r="AX258" s="66" t="s">
        <v>80</v>
      </c>
      <c r="AY258" s="66" t="s">
        <v>174</v>
      </c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59"/>
      <c r="BL258" s="59"/>
      <c r="BM258" s="59"/>
      <c r="BN258" s="164"/>
      <c r="BO258" s="165"/>
      <c r="BP258" s="165"/>
      <c r="BQ258" s="165"/>
      <c r="BR258" s="59"/>
      <c r="BS258" s="59"/>
      <c r="BT258" s="59"/>
      <c r="BU258" s="59"/>
      <c r="BV258" s="59"/>
      <c r="BW258" s="59"/>
      <c r="BX258" s="59"/>
      <c r="BY258" s="59"/>
      <c r="BZ258" s="59" t="str">
        <f t="shared" ref="BZ258:BZ297" si="705">IF(AZ258=0,"NA","SEM "&amp;WEEKNUM(AZ258))</f>
        <v>NA</v>
      </c>
      <c r="CA258" s="59" t="str">
        <f t="shared" ref="CA258:CA297" si="706">IF(AZ258=0,"",IF(MONTH(AZ258)=1,"ENE","")&amp;IF(MONTH(AZ258)=2,"FEB","")&amp;IF(MONTH(AZ258)=3,"MAR","")&amp;IF(MONTH(AZ258)=4,"ABR","")&amp;IF(MONTH(AZ258)=5,"MAY","")&amp;IF(MONTH(AZ258)=6,"JUN","")&amp;IF(MONTH(AZ258)=7,"JUL","")&amp;IF(MONTH(AZ258)=8,"AGO","")&amp;IF(MONTH(AZ258)=9,"SEP","")&amp;IF(MONTH(AZ258)=10,"OCT","")&amp;IF(MONTH(AZ258)=11,"NOV","")&amp;IF(MONTH(AZ258)=12,"DIC",""))</f>
        <v/>
      </c>
      <c r="CB258" s="59" t="str">
        <f t="shared" ref="CB258:CB297" si="707">IF(BF258=0,"NA","SEM "&amp;WEEKNUM(BF258))</f>
        <v>NA</v>
      </c>
      <c r="CC258" s="59" t="str">
        <f t="shared" ref="CC258:CC297" si="708">IF(BF258=0,"",IF(MONTH(BF258)=1,"ENE","")&amp;IF(MONTH(BF258)=2,"FEB","")&amp;IF(MONTH(BF258)=3,"MAR","")&amp;IF(MONTH(BF258)=4,"ABR","")&amp;IF(MONTH(BF258)=5,"MAY","")&amp;IF(MONTH(BF258)=6,"JUN","")&amp;IF(MONTH(BF258)=7,"JUL","")&amp;IF(MONTH(BF258)=8,"AGO","")&amp;IF(MONTH(BF258)=9,"SEP","")&amp;IF(MONTH(BF258)=10,"OCT","")&amp;IF(MONTH(BF258)=11,"NOV","")&amp;IF(MONTH(BF258)=12,"DIC",""))</f>
        <v/>
      </c>
      <c r="CD258" s="59" t="str">
        <f t="shared" ref="CD258:CD297" si="709">IF(BJ258=0,"NA","SEM "&amp;WEEKNUM(BJ258))</f>
        <v>NA</v>
      </c>
      <c r="CE258" s="59" t="str">
        <f t="shared" ref="CE258:CE297" si="710">IF(BJ258=0,"",IF(MONTH(BJ258)=1,"ENE","")&amp;IF(MONTH(BJ258)=2,"FEB","")&amp;IF(MONTH(BJ258)=3,"MAR","")&amp;IF(MONTH(BJ258)=4,"ABR","")&amp;IF(MONTH(BJ258)=5,"MAY","")&amp;IF(MONTH(BJ258)=6,"JUN","")&amp;IF(MONTH(BJ258)=7,"JUL","")&amp;IF(MONTH(BJ258)=8,"AGO","")&amp;IF(MONTH(BJ258)=9,"SEP","")&amp;IF(MONTH(BJ258)=10,"OCT","")&amp;IF(MONTH(BJ258)=11,"NOV","")&amp;IF(MONTH(BJ258)=12,"DIC",""))</f>
        <v/>
      </c>
      <c r="CF258" s="59"/>
      <c r="CG258" s="59"/>
      <c r="CH258" s="59"/>
      <c r="CI258" s="59" t="str">
        <f t="shared" ref="CI258:CI297" ca="1" si="711">IF(AC258=0,"ND",IF(TODAY()-AC258&lt;=5,"HASTA 5 DIAS","")&amp;IF(TODAY()-AC258&gt;5,IF(TODAY()-AC258&lt;=10,"DE 6 A 10 DIAS",""),"")&amp;IF(TODAY()-AC258&gt;10,IF(TODAY()-AC258&lt;=15,"DE 11 A 15 DIAS",""),"")&amp;IF(TODAY()-AC258&gt;15,IF(TODAY()-AC258&lt;=20,"DE 16 A 20 DIAS",""),"")&amp;IF(TODAY()-AC258&gt;20,IF(TODAY()-AC258&lt;=25,"DE 21 A 25 DIAS",""),"")&amp;IF(TODAY()-AC258&gt;25,IF(TODAY()-AC258&lt;=29,"DE 26 A 29 DIAS",""),"")&amp;IF(TODAY()-AC258=30,"30 DIAS","")&amp;IF(TODAY()-AC258&gt;30,IF(TODAY()-AC258&lt;=35,"DE 31 A 35 DIAS",""),"")&amp;IF(TODAY()-AC258&gt;35,IF(TODAY()-AC258&lt;=45,"DE 36 A 45 DIAS",""),"")&amp;IF(TODAY()-AC258&gt;45,"MAYOR A 45 DIAS",""))</f>
        <v>DE 26 A 29 DIAS</v>
      </c>
      <c r="CJ258" s="59" t="str">
        <f t="shared" ref="CJ258:CJ297" ca="1" si="712">IF(AD258=0,"ND",IF(TODAY()-AD258&lt;=5,"HASTA 5 DIAS","")&amp;IF(TODAY()-AD258&gt;5,IF(TODAY()-AD258&lt;=10,"DE 6 A 10 DIAS",""),"")&amp;IF(TODAY()-AD258&gt;10,IF(TODAY()-AD258&lt;=15,"DE 11 A 15 DIAS",""),"")&amp;IF(TODAY()-AD258&gt;15,IF(TODAY()-AD258&lt;=20,"DE 16 A 20 DIAS",""),"")&amp;IF(TODAY()-AD258&gt;20,IF(TODAY()-AD258&lt;=25,"DE 21 A 25 DIAS",""),"")&amp;IF(TODAY()-AD258&gt;25,IF(TODAY()-AD258&lt;=29,"DE 26 A 29 DIAS",""),"")&amp;IF(TODAY()-AD258=30,"30 DIAS","")&amp;IF(TODAY()-AD258&gt;30,IF(TODAY()-AD258&lt;=35,"DE 31 A 35 DIAS",""),"")&amp;IF(TODAY()-AD258&gt;35,IF(TODAY()-AD258&lt;=45,"DE 36 A 45 DIAS",""),"")&amp;IF(TODAY()-AD258&gt;45,"MAYOR A 45 DIAS",""))</f>
        <v>DE 26 A 29 DIAS</v>
      </c>
      <c r="CK258" s="59" t="str">
        <f t="shared" ref="CK258:CK297" ca="1" si="713">IF(AE258=0,"ND",IF(TODAY()-AE258&lt;=5,"HASTA 5 DIAS","")&amp;IF(TODAY()-AE258&gt;5,IF(TODAY()-AE258&lt;=10,"DE 6 A 10 DIAS",""),"")&amp;IF(TODAY()-AE258&gt;10,IF(TODAY()-AE258&lt;=15,"DE 11 A 15 DIAS",""),"")&amp;IF(TODAY()-AE258&gt;15,IF(TODAY()-AE258&lt;=20,"DE 16 A 20 DIAS",""),"")&amp;IF(TODAY()-AE258&gt;20,IF(TODAY()-AE258&lt;=25,"DE 21 A 25 DIAS",""),"")&amp;IF(TODAY()-AE258&gt;25,IF(TODAY()-AE258&lt;=29,"DE 26 A 29 DIAS",""),"")&amp;IF(TODAY()-AE258=30,"30 DIAS","")&amp;IF(TODAY()-AE258&gt;30,IF(TODAY()-AE258&lt;=35,"DE 31 A 35 DIAS",""),"")&amp;IF(TODAY()-AE258&gt;35,IF(TODAY()-AE258&lt;=45,"DE 36 A 45 DIAS",""),"")&amp;IF(TODAY()-AE258&gt;45,"MAYOR A 45 DIAS",""))</f>
        <v>DE 26 A 29 DIAS</v>
      </c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>
        <f t="shared" si="559"/>
        <v>0</v>
      </c>
      <c r="DH258" s="8">
        <f t="shared" si="560"/>
        <v>0</v>
      </c>
      <c r="DI258" s="8">
        <f t="shared" si="561"/>
        <v>0</v>
      </c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56">
        <f t="shared" ref="EX258:EX297" si="714">-(CL258+CM258+CN258+CO258+CP258+CQ258+CR258+CS258+CT258+CU258+CV258-N258)</f>
        <v>0</v>
      </c>
    </row>
    <row r="259" spans="1:154" x14ac:dyDescent="0.25">
      <c r="A259" s="2"/>
      <c r="B259" s="2"/>
      <c r="C259" s="2"/>
      <c r="D259" s="2"/>
      <c r="E259" s="2"/>
      <c r="F259" s="2"/>
      <c r="G259" s="11"/>
      <c r="H259" s="4"/>
      <c r="I259" s="4"/>
      <c r="J259" s="9"/>
      <c r="K259" s="9"/>
      <c r="L259" s="10"/>
      <c r="M259" s="24"/>
      <c r="N259" s="7"/>
      <c r="O259" s="8"/>
      <c r="P259" s="25"/>
      <c r="Q259" s="8"/>
      <c r="R259" s="26"/>
      <c r="S259" s="8"/>
      <c r="T259" s="8"/>
      <c r="U259" s="8"/>
      <c r="V259" s="7"/>
      <c r="W259" s="7"/>
      <c r="X259" s="7"/>
      <c r="Y259" s="7"/>
      <c r="Z259" s="7"/>
      <c r="AA259" s="7"/>
      <c r="AB259" s="7"/>
      <c r="AC259" s="25">
        <f ca="1">TODAY()-30</f>
        <v>41092</v>
      </c>
      <c r="AD259" s="25">
        <f t="shared" ref="AD259:AE259" ca="1" si="715">TODAY()-30</f>
        <v>41092</v>
      </c>
      <c r="AE259" s="25">
        <f t="shared" ca="1" si="715"/>
        <v>41092</v>
      </c>
      <c r="AF259" s="25">
        <v>41043</v>
      </c>
      <c r="AG259" s="59" t="str">
        <f t="shared" ref="AG259:AG297" ca="1" si="716">IF(AF259="","NA",IF(TODAY()-AF259&lt;=3,"HASTA 3 DIAS","")&amp;IF(TODAY()-AF259&gt;3,IF(TODAY()-AF259&lt;=7,"1RA SEM",""),"")&amp;IF(TODAY()-AF259&gt;7,IF(TODAY()-AF259&lt;=14,"2DA SEM",""),"")&amp;IF(TODAY()-AF259&gt;14,IF(TODAY()-AF259&lt;=21,"3RA SEM",""),"")&amp;IF(TODAY()-AF259&gt;21,IF(TODAY()-AF259&lt;=28,"4TA SEM",""),"")&amp;IF(TODAY()-AF259&gt;28,IF(TODAY()-AF259&lt;=35,"5TA SEM",""),"")&amp;IF(TODAY()-AF259&gt;35,IF(TODAY()-AF259&lt;=42,"6TA SEM",""),"")&amp;IF(TODAY()-AF259&gt;42,IF(TODAY()-AF259&lt;=49,"7MA SEM",""),"")&amp;IF(TODAY()-AF259&gt;49,IF(TODAY()-AF259&lt;=56,"8VA SEM",""),"")&amp;IF(TODAY()-AF259&gt;56,"MAYOR A 2 MESES",""))</f>
        <v>MAYOR A 2 MESES</v>
      </c>
      <c r="AH259" s="8" t="s">
        <v>136</v>
      </c>
      <c r="AI259" s="8"/>
      <c r="AJ259" s="8"/>
      <c r="AK259" s="8"/>
      <c r="AL259" s="8"/>
      <c r="AM259" s="8"/>
      <c r="AN259" s="8"/>
      <c r="AO259" s="8"/>
      <c r="AP259" s="8"/>
      <c r="AQ259" s="8"/>
      <c r="AR259" s="59" t="str">
        <f t="shared" si="605"/>
        <v>SEM 20</v>
      </c>
      <c r="AS259" s="59" t="str">
        <f t="shared" si="606"/>
        <v>MAY</v>
      </c>
      <c r="AT259" s="59">
        <v>22000</v>
      </c>
      <c r="AU259" s="59" t="str">
        <f t="shared" si="704"/>
        <v>ENTRE 18 Y 25 MIL</v>
      </c>
      <c r="AV259" s="66" t="s">
        <v>73</v>
      </c>
      <c r="AW259" s="66" t="s">
        <v>76</v>
      </c>
      <c r="AX259" s="66" t="s">
        <v>80</v>
      </c>
      <c r="AY259" s="66" t="s">
        <v>171</v>
      </c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59"/>
      <c r="BL259" s="59"/>
      <c r="BM259" s="59"/>
      <c r="BN259" s="164"/>
      <c r="BO259" s="165"/>
      <c r="BP259" s="165"/>
      <c r="BQ259" s="165"/>
      <c r="BR259" s="59"/>
      <c r="BS259" s="59"/>
      <c r="BT259" s="59"/>
      <c r="BU259" s="59"/>
      <c r="BV259" s="59"/>
      <c r="BW259" s="59"/>
      <c r="BX259" s="59"/>
      <c r="BY259" s="59"/>
      <c r="BZ259" s="59" t="str">
        <f t="shared" si="705"/>
        <v>NA</v>
      </c>
      <c r="CA259" s="59" t="str">
        <f t="shared" si="706"/>
        <v/>
      </c>
      <c r="CB259" s="59" t="str">
        <f t="shared" si="707"/>
        <v>NA</v>
      </c>
      <c r="CC259" s="59" t="str">
        <f t="shared" si="708"/>
        <v/>
      </c>
      <c r="CD259" s="59" t="str">
        <f t="shared" si="709"/>
        <v>NA</v>
      </c>
      <c r="CE259" s="59" t="str">
        <f t="shared" si="710"/>
        <v/>
      </c>
      <c r="CF259" s="59"/>
      <c r="CG259" s="59"/>
      <c r="CH259" s="59"/>
      <c r="CI259" s="59" t="str">
        <f t="shared" ca="1" si="711"/>
        <v>30 DIAS</v>
      </c>
      <c r="CJ259" s="59" t="str">
        <f t="shared" ca="1" si="712"/>
        <v>30 DIAS</v>
      </c>
      <c r="CK259" s="59" t="str">
        <f t="shared" ca="1" si="713"/>
        <v>30 DIAS</v>
      </c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>
        <f t="shared" ref="DG259:DG297" si="717">IF(CW259="VIGENTE",CM259,0)+IF(CX259="VIGENTE",CN259,0)+IF(CY259="VIGENTE",CO259,0)+IF(CZ259="VIGENTE",CP259,0)+IF(DA259="VIGENTE",CQ259,0)+IF(DB259="VIGENTE",CR259,0)+IF(DC259="VIGENTE",CS259,0)+IF(DD259="VIGENTE",CT259,0)+IF(DE259="VIGENTE",CU259,0)+IF(DF259="VIGENTE",CV259,0)</f>
        <v>0</v>
      </c>
      <c r="DH259" s="8">
        <f t="shared" ref="DH259:DH297" si="718">IF(CW259="PAGADO",CM259,0)+IF(CX259="PAGADO",CN259,0)+IF(CY259="PAGADO",CO259,0)+IF(CZ259="PAGADO",CP259,0)+IF(DA259="PAGADO",CQ259,0)+IF(DB259="PAGADO",CR259,0)+IF(DC259="PAGADO",CS259,0)+IF(DD259="PAGADO",CT259,0)+IF(DE259="PAGADO",CU259,0)+IF(DF259="PAGADO",CV259,0)</f>
        <v>0</v>
      </c>
      <c r="DI259" s="8">
        <f t="shared" ref="DI259:DI297" si="719">IF(CW259="VENCIDO",CM259,0)+IF(CX259="VENCIDO",CN259,0)+IF(CY259="VENCIDO",CO259,0)+IF(CZ259="VENCIDO",CP259,0)+IF(DA259="VENCIDO",CQ259,0)+IF(DB259="VENCIDO",CR259,0)+IF(DC259="VENCIDO",CS259,0)+IF(DD259="VENCIDO",CT259,0)+IF(DE259="VENCIDO",CU259,0)+IF(DF259="VENCIDO",CV259,0)</f>
        <v>0</v>
      </c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56">
        <f t="shared" si="714"/>
        <v>0</v>
      </c>
    </row>
    <row r="260" spans="1:154" x14ac:dyDescent="0.25">
      <c r="A260" s="2"/>
      <c r="B260" s="2"/>
      <c r="C260" s="2"/>
      <c r="D260" s="2"/>
      <c r="E260" s="2"/>
      <c r="F260" s="2"/>
      <c r="G260" s="11"/>
      <c r="H260" s="4"/>
      <c r="I260" s="4"/>
      <c r="J260" s="9"/>
      <c r="K260" s="9"/>
      <c r="L260" s="10"/>
      <c r="M260" s="24"/>
      <c r="N260" s="7"/>
      <c r="O260" s="8"/>
      <c r="P260" s="25"/>
      <c r="Q260" s="8"/>
      <c r="R260" s="26"/>
      <c r="S260" s="8"/>
      <c r="T260" s="8"/>
      <c r="U260" s="8"/>
      <c r="V260" s="7"/>
      <c r="W260" s="7"/>
      <c r="X260" s="7"/>
      <c r="Y260" s="7"/>
      <c r="Z260" s="7"/>
      <c r="AA260" s="7"/>
      <c r="AB260" s="7"/>
      <c r="AC260" s="25">
        <f ca="1">TODAY()-34</f>
        <v>41088</v>
      </c>
      <c r="AD260" s="25">
        <f t="shared" ref="AD260:AE260" ca="1" si="720">TODAY()-34</f>
        <v>41088</v>
      </c>
      <c r="AE260" s="25">
        <f t="shared" ca="1" si="720"/>
        <v>41088</v>
      </c>
      <c r="AF260" s="25">
        <v>41049</v>
      </c>
      <c r="AG260" s="59" t="str">
        <f t="shared" ca="1" si="716"/>
        <v>MAYOR A 2 MESES</v>
      </c>
      <c r="AH260" s="8" t="s">
        <v>137</v>
      </c>
      <c r="AI260" s="8"/>
      <c r="AJ260" s="8"/>
      <c r="AK260" s="8"/>
      <c r="AL260" s="8"/>
      <c r="AM260" s="8"/>
      <c r="AN260" s="8"/>
      <c r="AO260" s="8"/>
      <c r="AP260" s="8"/>
      <c r="AQ260" s="8"/>
      <c r="AR260" s="59" t="str">
        <f t="shared" si="605"/>
        <v>SEM 21</v>
      </c>
      <c r="AS260" s="59" t="str">
        <f t="shared" si="606"/>
        <v>MAY</v>
      </c>
      <c r="AT260" s="59">
        <v>17000</v>
      </c>
      <c r="AU260" s="59" t="str">
        <f t="shared" si="704"/>
        <v>ENTRE 12 Y 18 MIL</v>
      </c>
      <c r="AV260" s="66" t="s">
        <v>73</v>
      </c>
      <c r="AW260" s="66" t="s">
        <v>78</v>
      </c>
      <c r="AX260" s="66" t="s">
        <v>80</v>
      </c>
      <c r="AY260" s="66" t="s">
        <v>171</v>
      </c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59"/>
      <c r="BL260" s="59"/>
      <c r="BM260" s="59"/>
      <c r="BN260" s="164"/>
      <c r="BO260" s="165"/>
      <c r="BP260" s="165"/>
      <c r="BQ260" s="165"/>
      <c r="BR260" s="59"/>
      <c r="BS260" s="59"/>
      <c r="BT260" s="59"/>
      <c r="BU260" s="59"/>
      <c r="BV260" s="59"/>
      <c r="BW260" s="59"/>
      <c r="BX260" s="59"/>
      <c r="BY260" s="59"/>
      <c r="BZ260" s="59" t="str">
        <f t="shared" si="705"/>
        <v>NA</v>
      </c>
      <c r="CA260" s="59" t="str">
        <f t="shared" si="706"/>
        <v/>
      </c>
      <c r="CB260" s="59" t="str">
        <f t="shared" si="707"/>
        <v>NA</v>
      </c>
      <c r="CC260" s="59" t="str">
        <f t="shared" si="708"/>
        <v/>
      </c>
      <c r="CD260" s="59" t="str">
        <f t="shared" si="709"/>
        <v>NA</v>
      </c>
      <c r="CE260" s="59" t="str">
        <f t="shared" si="710"/>
        <v/>
      </c>
      <c r="CF260" s="59"/>
      <c r="CG260" s="59"/>
      <c r="CH260" s="59"/>
      <c r="CI260" s="59" t="str">
        <f t="shared" ca="1" si="711"/>
        <v>DE 31 A 35 DIAS</v>
      </c>
      <c r="CJ260" s="59" t="str">
        <f t="shared" ca="1" si="712"/>
        <v>DE 31 A 35 DIAS</v>
      </c>
      <c r="CK260" s="59" t="str">
        <f t="shared" ca="1" si="713"/>
        <v>DE 31 A 35 DIAS</v>
      </c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>
        <f t="shared" si="717"/>
        <v>0</v>
      </c>
      <c r="DH260" s="8">
        <f t="shared" si="718"/>
        <v>0</v>
      </c>
      <c r="DI260" s="8">
        <f t="shared" si="719"/>
        <v>0</v>
      </c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56">
        <f t="shared" si="714"/>
        <v>0</v>
      </c>
    </row>
    <row r="261" spans="1:154" x14ac:dyDescent="0.25">
      <c r="A261" s="2"/>
      <c r="B261" s="2"/>
      <c r="C261" s="2"/>
      <c r="D261" s="2"/>
      <c r="E261" s="2"/>
      <c r="F261" s="2"/>
      <c r="G261" s="11"/>
      <c r="H261" s="4"/>
      <c r="I261" s="4"/>
      <c r="J261" s="9"/>
      <c r="K261" s="9"/>
      <c r="L261" s="10"/>
      <c r="M261" s="24"/>
      <c r="N261" s="7"/>
      <c r="O261" s="8"/>
      <c r="P261" s="25"/>
      <c r="Q261" s="8"/>
      <c r="R261" s="26"/>
      <c r="S261" s="8"/>
      <c r="T261" s="8"/>
      <c r="U261" s="8"/>
      <c r="V261" s="7"/>
      <c r="W261" s="7"/>
      <c r="X261" s="7"/>
      <c r="Y261" s="7"/>
      <c r="Z261" s="7"/>
      <c r="AA261" s="7"/>
      <c r="AB261" s="7"/>
      <c r="AC261" s="25">
        <f ca="1">TODAY()-39</f>
        <v>41083</v>
      </c>
      <c r="AD261" s="25">
        <f t="shared" ref="AD261:AE261" ca="1" si="721">TODAY()-39</f>
        <v>41083</v>
      </c>
      <c r="AE261" s="25">
        <f t="shared" ca="1" si="721"/>
        <v>41083</v>
      </c>
      <c r="AF261" s="25">
        <v>41055</v>
      </c>
      <c r="AG261" s="59" t="str">
        <f t="shared" ca="1" si="716"/>
        <v>MAYOR A 2 MESES</v>
      </c>
      <c r="AH261" s="8" t="s">
        <v>138</v>
      </c>
      <c r="AI261" s="8"/>
      <c r="AJ261" s="8"/>
      <c r="AK261" s="8"/>
      <c r="AL261" s="8"/>
      <c r="AM261" s="8"/>
      <c r="AN261" s="8"/>
      <c r="AO261" s="8"/>
      <c r="AP261" s="8"/>
      <c r="AQ261" s="8"/>
      <c r="AR261" s="59" t="str">
        <f t="shared" si="605"/>
        <v>SEM 21</v>
      </c>
      <c r="AS261" s="59" t="str">
        <f t="shared" si="606"/>
        <v>MAY</v>
      </c>
      <c r="AT261" s="59">
        <v>12000</v>
      </c>
      <c r="AU261" s="59" t="str">
        <f t="shared" si="704"/>
        <v>HASTA 12 MIL</v>
      </c>
      <c r="AV261" s="66" t="s">
        <v>73</v>
      </c>
      <c r="AW261" s="66" t="s">
        <v>76</v>
      </c>
      <c r="AX261" s="66" t="s">
        <v>85</v>
      </c>
      <c r="AY261" s="66" t="s">
        <v>172</v>
      </c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59"/>
      <c r="BL261" s="59"/>
      <c r="BM261" s="59"/>
      <c r="BN261" s="164"/>
      <c r="BO261" s="165"/>
      <c r="BP261" s="165"/>
      <c r="BQ261" s="165"/>
      <c r="BR261" s="59"/>
      <c r="BS261" s="59"/>
      <c r="BT261" s="59"/>
      <c r="BU261" s="59"/>
      <c r="BV261" s="59"/>
      <c r="BW261" s="59"/>
      <c r="BX261" s="59"/>
      <c r="BY261" s="59"/>
      <c r="BZ261" s="59" t="str">
        <f t="shared" si="705"/>
        <v>NA</v>
      </c>
      <c r="CA261" s="59" t="str">
        <f t="shared" si="706"/>
        <v/>
      </c>
      <c r="CB261" s="59" t="str">
        <f t="shared" si="707"/>
        <v>NA</v>
      </c>
      <c r="CC261" s="59" t="str">
        <f t="shared" si="708"/>
        <v/>
      </c>
      <c r="CD261" s="59" t="str">
        <f t="shared" si="709"/>
        <v>NA</v>
      </c>
      <c r="CE261" s="59" t="str">
        <f t="shared" si="710"/>
        <v/>
      </c>
      <c r="CF261" s="59"/>
      <c r="CG261" s="59"/>
      <c r="CH261" s="59"/>
      <c r="CI261" s="59" t="str">
        <f t="shared" ca="1" si="711"/>
        <v>DE 36 A 45 DIAS</v>
      </c>
      <c r="CJ261" s="59" t="str">
        <f t="shared" ca="1" si="712"/>
        <v>DE 36 A 45 DIAS</v>
      </c>
      <c r="CK261" s="59" t="str">
        <f t="shared" ca="1" si="713"/>
        <v>DE 36 A 45 DIAS</v>
      </c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>
        <f t="shared" si="717"/>
        <v>0</v>
      </c>
      <c r="DH261" s="8">
        <f t="shared" si="718"/>
        <v>0</v>
      </c>
      <c r="DI261" s="8">
        <f t="shared" si="719"/>
        <v>0</v>
      </c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56">
        <f t="shared" si="714"/>
        <v>0</v>
      </c>
    </row>
    <row r="262" spans="1:154" x14ac:dyDescent="0.25">
      <c r="A262" s="2"/>
      <c r="B262" s="2"/>
      <c r="C262" s="2"/>
      <c r="D262" s="2"/>
      <c r="E262" s="2"/>
      <c r="F262" s="2"/>
      <c r="G262" s="11"/>
      <c r="H262" s="4"/>
      <c r="I262" s="4"/>
      <c r="J262" s="9"/>
      <c r="K262" s="9"/>
      <c r="L262" s="10"/>
      <c r="M262" s="24"/>
      <c r="N262" s="7"/>
      <c r="O262" s="8"/>
      <c r="P262" s="25"/>
      <c r="Q262" s="8"/>
      <c r="R262" s="26"/>
      <c r="S262" s="8"/>
      <c r="T262" s="8"/>
      <c r="U262" s="8"/>
      <c r="V262" s="7"/>
      <c r="W262" s="7"/>
      <c r="X262" s="7"/>
      <c r="Y262" s="7"/>
      <c r="Z262" s="7"/>
      <c r="AA262" s="7"/>
      <c r="AB262" s="7"/>
      <c r="AC262" s="25">
        <f ca="1">TODAY()-45</f>
        <v>41077</v>
      </c>
      <c r="AD262" s="25">
        <f t="shared" ref="AD262:AE262" ca="1" si="722">TODAY()-45</f>
        <v>41077</v>
      </c>
      <c r="AE262" s="25">
        <f t="shared" ca="1" si="722"/>
        <v>41077</v>
      </c>
      <c r="AF262" s="25">
        <v>41061</v>
      </c>
      <c r="AG262" s="59" t="str">
        <f t="shared" ca="1" si="716"/>
        <v>MAYOR A 2 MESES</v>
      </c>
      <c r="AH262" s="8" t="s">
        <v>139</v>
      </c>
      <c r="AI262" s="8"/>
      <c r="AJ262" s="8"/>
      <c r="AK262" s="8"/>
      <c r="AL262" s="8"/>
      <c r="AM262" s="8"/>
      <c r="AN262" s="8"/>
      <c r="AO262" s="8"/>
      <c r="AP262" s="8"/>
      <c r="AQ262" s="8"/>
      <c r="AR262" s="59" t="str">
        <f t="shared" si="605"/>
        <v>SEM 22</v>
      </c>
      <c r="AS262" s="59" t="str">
        <f t="shared" si="606"/>
        <v>JUN</v>
      </c>
      <c r="AT262" s="59">
        <v>32000</v>
      </c>
      <c r="AU262" s="59" t="str">
        <f t="shared" si="704"/>
        <v>ENTRE 25 Y 35 MIL</v>
      </c>
      <c r="AV262" s="66" t="s">
        <v>148</v>
      </c>
      <c r="AW262" s="66" t="s">
        <v>78</v>
      </c>
      <c r="AX262" s="66" t="s">
        <v>85</v>
      </c>
      <c r="AY262" s="66" t="s">
        <v>172</v>
      </c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59"/>
      <c r="BL262" s="59"/>
      <c r="BM262" s="59"/>
      <c r="BN262" s="164"/>
      <c r="BO262" s="165"/>
      <c r="BP262" s="165"/>
      <c r="BQ262" s="165"/>
      <c r="BR262" s="59"/>
      <c r="BS262" s="59"/>
      <c r="BT262" s="59"/>
      <c r="BU262" s="59"/>
      <c r="BV262" s="59"/>
      <c r="BW262" s="59"/>
      <c r="BX262" s="59"/>
      <c r="BY262" s="59"/>
      <c r="BZ262" s="59" t="str">
        <f t="shared" si="705"/>
        <v>NA</v>
      </c>
      <c r="CA262" s="59" t="str">
        <f t="shared" si="706"/>
        <v/>
      </c>
      <c r="CB262" s="59" t="str">
        <f t="shared" si="707"/>
        <v>NA</v>
      </c>
      <c r="CC262" s="59" t="str">
        <f t="shared" si="708"/>
        <v/>
      </c>
      <c r="CD262" s="59" t="str">
        <f t="shared" si="709"/>
        <v>NA</v>
      </c>
      <c r="CE262" s="59" t="str">
        <f t="shared" si="710"/>
        <v/>
      </c>
      <c r="CF262" s="59"/>
      <c r="CG262" s="59"/>
      <c r="CH262" s="59"/>
      <c r="CI262" s="59" t="str">
        <f t="shared" ca="1" si="711"/>
        <v>DE 36 A 45 DIAS</v>
      </c>
      <c r="CJ262" s="59" t="str">
        <f t="shared" ca="1" si="712"/>
        <v>DE 36 A 45 DIAS</v>
      </c>
      <c r="CK262" s="59" t="str">
        <f t="shared" ca="1" si="713"/>
        <v>DE 36 A 45 DIAS</v>
      </c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>
        <f t="shared" si="717"/>
        <v>0</v>
      </c>
      <c r="DH262" s="8">
        <f t="shared" si="718"/>
        <v>0</v>
      </c>
      <c r="DI262" s="8">
        <f t="shared" si="719"/>
        <v>0</v>
      </c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56">
        <f t="shared" si="714"/>
        <v>0</v>
      </c>
    </row>
    <row r="263" spans="1:154" x14ac:dyDescent="0.25">
      <c r="A263" s="2"/>
      <c r="B263" s="2"/>
      <c r="C263" s="2"/>
      <c r="D263" s="2"/>
      <c r="E263" s="2"/>
      <c r="F263" s="2"/>
      <c r="G263" s="11"/>
      <c r="H263" s="4"/>
      <c r="I263" s="4"/>
      <c r="J263" s="9"/>
      <c r="K263" s="9"/>
      <c r="L263" s="10"/>
      <c r="M263" s="24"/>
      <c r="N263" s="7"/>
      <c r="O263" s="8"/>
      <c r="P263" s="25"/>
      <c r="Q263" s="8"/>
      <c r="R263" s="26"/>
      <c r="S263" s="8"/>
      <c r="T263" s="8"/>
      <c r="U263" s="8"/>
      <c r="V263" s="7"/>
      <c r="W263" s="7"/>
      <c r="X263" s="7"/>
      <c r="Y263" s="7"/>
      <c r="Z263" s="7"/>
      <c r="AA263" s="7"/>
      <c r="AB263" s="7"/>
      <c r="AC263" s="25">
        <f ca="1">TODAY()-50</f>
        <v>41072</v>
      </c>
      <c r="AD263" s="25">
        <f t="shared" ref="AD263:AE263" ca="1" si="723">TODAY()-50</f>
        <v>41072</v>
      </c>
      <c r="AE263" s="25">
        <f t="shared" ca="1" si="723"/>
        <v>41072</v>
      </c>
      <c r="AF263" s="25">
        <v>41067</v>
      </c>
      <c r="AG263" s="59" t="str">
        <f t="shared" ca="1" si="716"/>
        <v>8VA SEM</v>
      </c>
      <c r="AH263" s="8" t="s">
        <v>140</v>
      </c>
      <c r="AI263" s="8"/>
      <c r="AJ263" s="8"/>
      <c r="AK263" s="8"/>
      <c r="AL263" s="8"/>
      <c r="AM263" s="8"/>
      <c r="AN263" s="8"/>
      <c r="AO263" s="8"/>
      <c r="AP263" s="8"/>
      <c r="AQ263" s="8"/>
      <c r="AR263" s="59" t="str">
        <f t="shared" ref="AR263:AR297" si="724">IF(AF263=0,"NA","SEM "&amp;WEEKNUM(AF263))</f>
        <v>SEM 23</v>
      </c>
      <c r="AS263" s="59" t="str">
        <f t="shared" ref="AS263:AS297" si="725">IF(AF263=0,"",IF(MONTH(AF263)=1,"ENE","")&amp;IF(MONTH(AF263)=2,"FEB","")&amp;IF(MONTH(AF263)=3,"MAR","")&amp;IF(MONTH(AF263)=4,"ABR","")&amp;IF(MONTH(AF263)=5,"MAY","")&amp;IF(MONTH(AF263)=6,"JUN","")&amp;IF(MONTH(AF263)=7,"JUL","")&amp;IF(MONTH(AF263)=8,"AGO","")&amp;IF(MONTH(AF263)=9,"SEP","")&amp;IF(MONTH(AF263)=10,"OCT","")&amp;IF(MONTH(AF263)=11,"NOV","")&amp;IF(MONTH(AF263)=12,"DIC",""))</f>
        <v>JUN</v>
      </c>
      <c r="AT263" s="59">
        <v>7000</v>
      </c>
      <c r="AU263" s="59" t="str">
        <f t="shared" si="704"/>
        <v>HASTA 12 MIL</v>
      </c>
      <c r="AV263" s="66" t="s">
        <v>147</v>
      </c>
      <c r="AW263" s="66" t="s">
        <v>78</v>
      </c>
      <c r="AX263" s="66" t="s">
        <v>85</v>
      </c>
      <c r="AY263" s="66" t="s">
        <v>174</v>
      </c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59"/>
      <c r="BL263" s="59"/>
      <c r="BM263" s="59"/>
      <c r="BN263" s="164"/>
      <c r="BO263" s="165"/>
      <c r="BP263" s="165"/>
      <c r="BQ263" s="165"/>
      <c r="BR263" s="59"/>
      <c r="BS263" s="59"/>
      <c r="BT263" s="59"/>
      <c r="BU263" s="59"/>
      <c r="BV263" s="59"/>
      <c r="BW263" s="59"/>
      <c r="BX263" s="59"/>
      <c r="BY263" s="59"/>
      <c r="BZ263" s="59" t="str">
        <f t="shared" si="705"/>
        <v>NA</v>
      </c>
      <c r="CA263" s="59" t="str">
        <f t="shared" si="706"/>
        <v/>
      </c>
      <c r="CB263" s="59" t="str">
        <f t="shared" si="707"/>
        <v>NA</v>
      </c>
      <c r="CC263" s="59" t="str">
        <f t="shared" si="708"/>
        <v/>
      </c>
      <c r="CD263" s="59" t="str">
        <f t="shared" si="709"/>
        <v>NA</v>
      </c>
      <c r="CE263" s="59" t="str">
        <f t="shared" si="710"/>
        <v/>
      </c>
      <c r="CF263" s="59"/>
      <c r="CG263" s="59"/>
      <c r="CH263" s="59"/>
      <c r="CI263" s="59" t="str">
        <f t="shared" ca="1" si="711"/>
        <v>MAYOR A 45 DIAS</v>
      </c>
      <c r="CJ263" s="59" t="str">
        <f t="shared" ca="1" si="712"/>
        <v>MAYOR A 45 DIAS</v>
      </c>
      <c r="CK263" s="59" t="str">
        <f t="shared" ca="1" si="713"/>
        <v>MAYOR A 45 DIAS</v>
      </c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>
        <f t="shared" si="717"/>
        <v>0</v>
      </c>
      <c r="DH263" s="8">
        <f t="shared" si="718"/>
        <v>0</v>
      </c>
      <c r="DI263" s="8">
        <f t="shared" si="719"/>
        <v>0</v>
      </c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56">
        <f t="shared" si="714"/>
        <v>0</v>
      </c>
    </row>
    <row r="264" spans="1:154" x14ac:dyDescent="0.25">
      <c r="A264" s="2"/>
      <c r="B264" s="2"/>
      <c r="C264" s="2"/>
      <c r="D264" s="2"/>
      <c r="E264" s="2"/>
      <c r="F264" s="2"/>
      <c r="G264" s="11"/>
      <c r="H264" s="4"/>
      <c r="I264" s="4"/>
      <c r="J264" s="9"/>
      <c r="K264" s="9"/>
      <c r="L264" s="10"/>
      <c r="M264" s="24"/>
      <c r="N264" s="7"/>
      <c r="O264" s="8"/>
      <c r="P264" s="25"/>
      <c r="Q264" s="8"/>
      <c r="R264" s="26"/>
      <c r="S264" s="8"/>
      <c r="T264" s="8"/>
      <c r="U264" s="8"/>
      <c r="V264" s="7"/>
      <c r="W264" s="7"/>
      <c r="X264" s="7"/>
      <c r="Y264" s="7"/>
      <c r="Z264" s="7"/>
      <c r="AA264" s="7"/>
      <c r="AB264" s="7"/>
      <c r="AC264" s="25">
        <f ca="1">TODAY()-4</f>
        <v>41118</v>
      </c>
      <c r="AD264" s="25">
        <f t="shared" ref="AD264:AE264" ca="1" si="726">TODAY()-4</f>
        <v>41118</v>
      </c>
      <c r="AE264" s="25">
        <f t="shared" ca="1" si="726"/>
        <v>41118</v>
      </c>
      <c r="AF264" s="25">
        <v>41073</v>
      </c>
      <c r="AG264" s="59" t="str">
        <f t="shared" ca="1" si="716"/>
        <v>7MA SEM</v>
      </c>
      <c r="AH264" s="8" t="s">
        <v>141</v>
      </c>
      <c r="AI264" s="8"/>
      <c r="AJ264" s="8"/>
      <c r="AK264" s="8"/>
      <c r="AL264" s="8"/>
      <c r="AM264" s="8"/>
      <c r="AN264" s="8"/>
      <c r="AO264" s="8"/>
      <c r="AP264" s="8"/>
      <c r="AQ264" s="8"/>
      <c r="AR264" s="59" t="str">
        <f t="shared" si="724"/>
        <v>SEM 24</v>
      </c>
      <c r="AS264" s="59" t="str">
        <f t="shared" si="725"/>
        <v>JUN</v>
      </c>
      <c r="AT264" s="59">
        <v>8000</v>
      </c>
      <c r="AU264" s="59" t="str">
        <f t="shared" si="704"/>
        <v>HASTA 12 MIL</v>
      </c>
      <c r="AV264" s="66" t="s">
        <v>74</v>
      </c>
      <c r="AW264" s="66" t="s">
        <v>77</v>
      </c>
      <c r="AX264" s="66" t="s">
        <v>85</v>
      </c>
      <c r="AY264" s="66" t="s">
        <v>175</v>
      </c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59"/>
      <c r="BL264" s="59"/>
      <c r="BM264" s="59"/>
      <c r="BN264" s="164"/>
      <c r="BO264" s="165"/>
      <c r="BP264" s="165"/>
      <c r="BQ264" s="165"/>
      <c r="BR264" s="59"/>
      <c r="BS264" s="59"/>
      <c r="BT264" s="59"/>
      <c r="BU264" s="59"/>
      <c r="BV264" s="59"/>
      <c r="BW264" s="59"/>
      <c r="BX264" s="59"/>
      <c r="BY264" s="59"/>
      <c r="BZ264" s="59" t="str">
        <f t="shared" si="705"/>
        <v>NA</v>
      </c>
      <c r="CA264" s="59" t="str">
        <f t="shared" si="706"/>
        <v/>
      </c>
      <c r="CB264" s="59" t="str">
        <f t="shared" si="707"/>
        <v>NA</v>
      </c>
      <c r="CC264" s="59" t="str">
        <f t="shared" si="708"/>
        <v/>
      </c>
      <c r="CD264" s="59" t="str">
        <f t="shared" si="709"/>
        <v>NA</v>
      </c>
      <c r="CE264" s="59" t="str">
        <f t="shared" si="710"/>
        <v/>
      </c>
      <c r="CF264" s="59"/>
      <c r="CG264" s="59"/>
      <c r="CH264" s="59"/>
      <c r="CI264" s="59" t="str">
        <f t="shared" ca="1" si="711"/>
        <v>HASTA 5 DIAS</v>
      </c>
      <c r="CJ264" s="59" t="str">
        <f t="shared" ca="1" si="712"/>
        <v>HASTA 5 DIAS</v>
      </c>
      <c r="CK264" s="59" t="str">
        <f t="shared" ca="1" si="713"/>
        <v>HASTA 5 DIAS</v>
      </c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>
        <f t="shared" si="717"/>
        <v>0</v>
      </c>
      <c r="DH264" s="8">
        <f t="shared" si="718"/>
        <v>0</v>
      </c>
      <c r="DI264" s="8">
        <f t="shared" si="719"/>
        <v>0</v>
      </c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56">
        <f t="shared" si="714"/>
        <v>0</v>
      </c>
    </row>
    <row r="265" spans="1:154" x14ac:dyDescent="0.25">
      <c r="A265" s="2"/>
      <c r="B265" s="2"/>
      <c r="C265" s="2"/>
      <c r="D265" s="2"/>
      <c r="E265" s="2"/>
      <c r="F265" s="2"/>
      <c r="G265" s="11"/>
      <c r="H265" s="4"/>
      <c r="I265" s="4"/>
      <c r="J265" s="9"/>
      <c r="K265" s="9"/>
      <c r="L265" s="10"/>
      <c r="M265" s="24"/>
      <c r="N265" s="7"/>
      <c r="O265" s="8"/>
      <c r="P265" s="25"/>
      <c r="Q265" s="8"/>
      <c r="R265" s="26"/>
      <c r="S265" s="8"/>
      <c r="T265" s="8"/>
      <c r="U265" s="8"/>
      <c r="V265" s="7"/>
      <c r="W265" s="7"/>
      <c r="X265" s="7"/>
      <c r="Y265" s="7"/>
      <c r="Z265" s="7"/>
      <c r="AA265" s="7"/>
      <c r="AB265" s="7"/>
      <c r="AC265" s="25">
        <f ca="1">TODAY()-9</f>
        <v>41113</v>
      </c>
      <c r="AD265" s="25">
        <f t="shared" ref="AD265:AE265" ca="1" si="727">TODAY()-9</f>
        <v>41113</v>
      </c>
      <c r="AE265" s="25">
        <f t="shared" ca="1" si="727"/>
        <v>41113</v>
      </c>
      <c r="AF265" s="25">
        <v>41080</v>
      </c>
      <c r="AG265" s="59" t="str">
        <f t="shared" ca="1" si="716"/>
        <v>6TA SEM</v>
      </c>
      <c r="AH265" s="8" t="s">
        <v>142</v>
      </c>
      <c r="AI265" s="8"/>
      <c r="AJ265" s="8"/>
      <c r="AK265" s="8"/>
      <c r="AL265" s="8"/>
      <c r="AM265" s="8"/>
      <c r="AN265" s="8"/>
      <c r="AO265" s="8"/>
      <c r="AP265" s="8"/>
      <c r="AQ265" s="8"/>
      <c r="AR265" s="59" t="str">
        <f t="shared" si="724"/>
        <v>SEM 25</v>
      </c>
      <c r="AS265" s="59" t="str">
        <f t="shared" si="725"/>
        <v>JUN</v>
      </c>
      <c r="AT265" s="59">
        <v>15000</v>
      </c>
      <c r="AU265" s="59" t="str">
        <f t="shared" si="704"/>
        <v>ENTRE 12 Y 18 MIL</v>
      </c>
      <c r="AV265" s="66" t="s">
        <v>72</v>
      </c>
      <c r="AW265" s="66" t="s">
        <v>77</v>
      </c>
      <c r="AX265" s="66" t="s">
        <v>85</v>
      </c>
      <c r="AY265" s="66" t="s">
        <v>175</v>
      </c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59"/>
      <c r="BL265" s="59"/>
      <c r="BM265" s="59"/>
      <c r="BN265" s="164"/>
      <c r="BO265" s="165"/>
      <c r="BP265" s="165"/>
      <c r="BQ265" s="165"/>
      <c r="BR265" s="59"/>
      <c r="BS265" s="59"/>
      <c r="BT265" s="59"/>
      <c r="BU265" s="59"/>
      <c r="BV265" s="59"/>
      <c r="BW265" s="59"/>
      <c r="BX265" s="59"/>
      <c r="BY265" s="59"/>
      <c r="BZ265" s="59" t="str">
        <f t="shared" si="705"/>
        <v>NA</v>
      </c>
      <c r="CA265" s="59" t="str">
        <f t="shared" si="706"/>
        <v/>
      </c>
      <c r="CB265" s="59" t="str">
        <f t="shared" si="707"/>
        <v>NA</v>
      </c>
      <c r="CC265" s="59" t="str">
        <f t="shared" si="708"/>
        <v/>
      </c>
      <c r="CD265" s="59" t="str">
        <f t="shared" si="709"/>
        <v>NA</v>
      </c>
      <c r="CE265" s="59" t="str">
        <f t="shared" si="710"/>
        <v/>
      </c>
      <c r="CF265" s="59"/>
      <c r="CG265" s="59"/>
      <c r="CH265" s="59"/>
      <c r="CI265" s="59" t="str">
        <f t="shared" ca="1" si="711"/>
        <v>DE 6 A 10 DIAS</v>
      </c>
      <c r="CJ265" s="59" t="str">
        <f t="shared" ca="1" si="712"/>
        <v>DE 6 A 10 DIAS</v>
      </c>
      <c r="CK265" s="59" t="str">
        <f t="shared" ca="1" si="713"/>
        <v>DE 6 A 10 DIAS</v>
      </c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>
        <f t="shared" si="717"/>
        <v>0</v>
      </c>
      <c r="DH265" s="8">
        <f t="shared" si="718"/>
        <v>0</v>
      </c>
      <c r="DI265" s="8">
        <f t="shared" si="719"/>
        <v>0</v>
      </c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56">
        <f t="shared" si="714"/>
        <v>0</v>
      </c>
    </row>
    <row r="266" spans="1:154" x14ac:dyDescent="0.25">
      <c r="A266" s="2"/>
      <c r="B266" s="2"/>
      <c r="C266" s="2"/>
      <c r="D266" s="2"/>
      <c r="E266" s="2"/>
      <c r="F266" s="2"/>
      <c r="G266" s="11"/>
      <c r="H266" s="4"/>
      <c r="I266" s="4"/>
      <c r="J266" s="9"/>
      <c r="K266" s="9"/>
      <c r="L266" s="10"/>
      <c r="M266" s="24"/>
      <c r="N266" s="7"/>
      <c r="O266" s="8"/>
      <c r="P266" s="25"/>
      <c r="Q266" s="8"/>
      <c r="R266" s="26"/>
      <c r="S266" s="8"/>
      <c r="T266" s="8"/>
      <c r="U266" s="8"/>
      <c r="V266" s="7"/>
      <c r="W266" s="7"/>
      <c r="X266" s="7"/>
      <c r="Y266" s="7"/>
      <c r="Z266" s="7"/>
      <c r="AA266" s="7"/>
      <c r="AB266" s="7"/>
      <c r="AC266" s="25">
        <f ca="1">TODAY()-14</f>
        <v>41108</v>
      </c>
      <c r="AD266" s="25">
        <f t="shared" ref="AD266:AE266" ca="1" si="728">TODAY()-14</f>
        <v>41108</v>
      </c>
      <c r="AE266" s="25">
        <f t="shared" ca="1" si="728"/>
        <v>41108</v>
      </c>
      <c r="AF266" s="25">
        <v>41080</v>
      </c>
      <c r="AG266" s="59" t="str">
        <f t="shared" ca="1" si="716"/>
        <v>6TA SEM</v>
      </c>
      <c r="AH266" s="8" t="s">
        <v>143</v>
      </c>
      <c r="AI266" s="8"/>
      <c r="AJ266" s="8"/>
      <c r="AK266" s="8"/>
      <c r="AL266" s="8"/>
      <c r="AM266" s="8"/>
      <c r="AN266" s="8"/>
      <c r="AO266" s="8"/>
      <c r="AP266" s="8"/>
      <c r="AQ266" s="8"/>
      <c r="AR266" s="59" t="str">
        <f t="shared" si="724"/>
        <v>SEM 25</v>
      </c>
      <c r="AS266" s="59" t="str">
        <f t="shared" si="725"/>
        <v>JUN</v>
      </c>
      <c r="AT266" s="59">
        <v>21000</v>
      </c>
      <c r="AU266" s="59" t="str">
        <f t="shared" si="704"/>
        <v>ENTRE 18 Y 25 MIL</v>
      </c>
      <c r="AV266" s="66" t="s">
        <v>70</v>
      </c>
      <c r="AW266" s="66" t="s">
        <v>77</v>
      </c>
      <c r="AX266" s="66" t="s">
        <v>84</v>
      </c>
      <c r="AY266" s="66" t="s">
        <v>175</v>
      </c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59"/>
      <c r="BL266" s="59"/>
      <c r="BM266" s="59"/>
      <c r="BN266" s="164"/>
      <c r="BO266" s="165"/>
      <c r="BP266" s="165"/>
      <c r="BQ266" s="165"/>
      <c r="BR266" s="59"/>
      <c r="BS266" s="59"/>
      <c r="BT266" s="59"/>
      <c r="BU266" s="59"/>
      <c r="BV266" s="59"/>
      <c r="BW266" s="59"/>
      <c r="BX266" s="59"/>
      <c r="BY266" s="59"/>
      <c r="BZ266" s="59" t="str">
        <f t="shared" si="705"/>
        <v>NA</v>
      </c>
      <c r="CA266" s="59" t="str">
        <f t="shared" si="706"/>
        <v/>
      </c>
      <c r="CB266" s="59" t="str">
        <f t="shared" si="707"/>
        <v>NA</v>
      </c>
      <c r="CC266" s="59" t="str">
        <f t="shared" si="708"/>
        <v/>
      </c>
      <c r="CD266" s="59" t="str">
        <f t="shared" si="709"/>
        <v>NA</v>
      </c>
      <c r="CE266" s="59" t="str">
        <f t="shared" si="710"/>
        <v/>
      </c>
      <c r="CF266" s="59"/>
      <c r="CG266" s="59"/>
      <c r="CH266" s="59"/>
      <c r="CI266" s="59" t="str">
        <f t="shared" ca="1" si="711"/>
        <v>DE 11 A 15 DIAS</v>
      </c>
      <c r="CJ266" s="59" t="str">
        <f t="shared" ca="1" si="712"/>
        <v>DE 11 A 15 DIAS</v>
      </c>
      <c r="CK266" s="59" t="str">
        <f t="shared" ca="1" si="713"/>
        <v>DE 11 A 15 DIAS</v>
      </c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>
        <f t="shared" si="717"/>
        <v>0</v>
      </c>
      <c r="DH266" s="8">
        <f t="shared" si="718"/>
        <v>0</v>
      </c>
      <c r="DI266" s="8">
        <f t="shared" si="719"/>
        <v>0</v>
      </c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56">
        <f t="shared" si="714"/>
        <v>0</v>
      </c>
    </row>
    <row r="267" spans="1:154" x14ac:dyDescent="0.25">
      <c r="A267" s="2"/>
      <c r="B267" s="2"/>
      <c r="C267" s="2"/>
      <c r="D267" s="2"/>
      <c r="E267" s="2"/>
      <c r="F267" s="2"/>
      <c r="G267" s="11"/>
      <c r="H267" s="4"/>
      <c r="I267" s="4"/>
      <c r="J267" s="9"/>
      <c r="K267" s="9"/>
      <c r="L267" s="10"/>
      <c r="M267" s="24"/>
      <c r="N267" s="7"/>
      <c r="O267" s="8"/>
      <c r="P267" s="25"/>
      <c r="Q267" s="8"/>
      <c r="R267" s="26"/>
      <c r="S267" s="8"/>
      <c r="T267" s="8"/>
      <c r="U267" s="8"/>
      <c r="V267" s="7"/>
      <c r="W267" s="7"/>
      <c r="X267" s="7"/>
      <c r="Y267" s="7"/>
      <c r="Z267" s="7"/>
      <c r="AA267" s="7"/>
      <c r="AB267" s="7"/>
      <c r="AC267" s="25">
        <f ca="1">TODAY()-19</f>
        <v>41103</v>
      </c>
      <c r="AD267" s="25">
        <f t="shared" ref="AD267:AE267" ca="1" si="729">TODAY()-19</f>
        <v>41103</v>
      </c>
      <c r="AE267" s="25">
        <f t="shared" ca="1" si="729"/>
        <v>41103</v>
      </c>
      <c r="AF267" s="25">
        <v>41080</v>
      </c>
      <c r="AG267" s="59" t="str">
        <f t="shared" ca="1" si="716"/>
        <v>6TA SEM</v>
      </c>
      <c r="AH267" s="8" t="s">
        <v>144</v>
      </c>
      <c r="AI267" s="8"/>
      <c r="AJ267" s="8"/>
      <c r="AK267" s="8"/>
      <c r="AL267" s="8"/>
      <c r="AM267" s="8"/>
      <c r="AN267" s="8"/>
      <c r="AO267" s="8"/>
      <c r="AP267" s="8"/>
      <c r="AQ267" s="8"/>
      <c r="AR267" s="59" t="str">
        <f t="shared" si="724"/>
        <v>SEM 25</v>
      </c>
      <c r="AS267" s="59" t="str">
        <f t="shared" si="725"/>
        <v>JUN</v>
      </c>
      <c r="AT267" s="59">
        <v>44000</v>
      </c>
      <c r="AU267" s="59" t="str">
        <f t="shared" si="704"/>
        <v>ENTRE 35 Y 45 MIL</v>
      </c>
      <c r="AV267" s="66" t="s">
        <v>70</v>
      </c>
      <c r="AW267" s="66" t="s">
        <v>77</v>
      </c>
      <c r="AX267" s="66" t="s">
        <v>84</v>
      </c>
      <c r="AY267" s="66" t="s">
        <v>173</v>
      </c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59"/>
      <c r="BL267" s="59"/>
      <c r="BM267" s="59"/>
      <c r="BN267" s="164"/>
      <c r="BO267" s="165"/>
      <c r="BP267" s="165"/>
      <c r="BQ267" s="165"/>
      <c r="BR267" s="59"/>
      <c r="BS267" s="59"/>
      <c r="BT267" s="59"/>
      <c r="BU267" s="59"/>
      <c r="BV267" s="59"/>
      <c r="BW267" s="59"/>
      <c r="BX267" s="59"/>
      <c r="BY267" s="59"/>
      <c r="BZ267" s="59" t="str">
        <f t="shared" si="705"/>
        <v>NA</v>
      </c>
      <c r="CA267" s="59" t="str">
        <f t="shared" si="706"/>
        <v/>
      </c>
      <c r="CB267" s="59" t="str">
        <f t="shared" si="707"/>
        <v>NA</v>
      </c>
      <c r="CC267" s="59" t="str">
        <f t="shared" si="708"/>
        <v/>
      </c>
      <c r="CD267" s="59" t="str">
        <f t="shared" si="709"/>
        <v>NA</v>
      </c>
      <c r="CE267" s="59" t="str">
        <f t="shared" si="710"/>
        <v/>
      </c>
      <c r="CF267" s="59"/>
      <c r="CG267" s="59"/>
      <c r="CH267" s="59"/>
      <c r="CI267" s="59" t="str">
        <f t="shared" ca="1" si="711"/>
        <v>DE 16 A 20 DIAS</v>
      </c>
      <c r="CJ267" s="59" t="str">
        <f t="shared" ca="1" si="712"/>
        <v>DE 16 A 20 DIAS</v>
      </c>
      <c r="CK267" s="59" t="str">
        <f t="shared" ca="1" si="713"/>
        <v>DE 16 A 20 DIAS</v>
      </c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>
        <f t="shared" si="717"/>
        <v>0</v>
      </c>
      <c r="DH267" s="8">
        <f t="shared" si="718"/>
        <v>0</v>
      </c>
      <c r="DI267" s="8">
        <f t="shared" si="719"/>
        <v>0</v>
      </c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56">
        <f t="shared" si="714"/>
        <v>0</v>
      </c>
    </row>
    <row r="268" spans="1:154" x14ac:dyDescent="0.25">
      <c r="A268" s="2"/>
      <c r="B268" s="2"/>
      <c r="C268" s="2"/>
      <c r="D268" s="2"/>
      <c r="E268" s="2"/>
      <c r="F268" s="2"/>
      <c r="G268" s="11"/>
      <c r="H268" s="4"/>
      <c r="I268" s="4"/>
      <c r="J268" s="9"/>
      <c r="K268" s="9"/>
      <c r="L268" s="10"/>
      <c r="M268" s="24"/>
      <c r="N268" s="7"/>
      <c r="O268" s="8"/>
      <c r="P268" s="25"/>
      <c r="Q268" s="8"/>
      <c r="R268" s="26"/>
      <c r="S268" s="8"/>
      <c r="T268" s="8"/>
      <c r="U268" s="8"/>
      <c r="V268" s="7"/>
      <c r="W268" s="7"/>
      <c r="X268" s="7"/>
      <c r="Y268" s="7"/>
      <c r="Z268" s="7"/>
      <c r="AA268" s="7"/>
      <c r="AB268" s="7"/>
      <c r="AC268" s="25">
        <f ca="1">TODAY()-25</f>
        <v>41097</v>
      </c>
      <c r="AD268" s="25">
        <f t="shared" ref="AD268:AE268" ca="1" si="730">TODAY()-25</f>
        <v>41097</v>
      </c>
      <c r="AE268" s="25">
        <f t="shared" ca="1" si="730"/>
        <v>41097</v>
      </c>
      <c r="AF268" s="25">
        <v>41080</v>
      </c>
      <c r="AG268" s="59" t="str">
        <f t="shared" ca="1" si="716"/>
        <v>6TA SEM</v>
      </c>
      <c r="AH268" s="8" t="s">
        <v>151</v>
      </c>
      <c r="AI268" s="8"/>
      <c r="AJ268" s="8"/>
      <c r="AK268" s="8"/>
      <c r="AL268" s="8"/>
      <c r="AM268" s="8"/>
      <c r="AN268" s="8"/>
      <c r="AO268" s="8"/>
      <c r="AP268" s="8"/>
      <c r="AQ268" s="8"/>
      <c r="AR268" s="59" t="str">
        <f t="shared" si="724"/>
        <v>SEM 25</v>
      </c>
      <c r="AS268" s="59" t="str">
        <f t="shared" si="725"/>
        <v>JUN</v>
      </c>
      <c r="AT268" s="59">
        <v>17000</v>
      </c>
      <c r="AU268" s="59" t="str">
        <f t="shared" si="704"/>
        <v>ENTRE 12 Y 18 MIL</v>
      </c>
      <c r="AV268" s="66" t="s">
        <v>70</v>
      </c>
      <c r="AW268" s="66" t="s">
        <v>77</v>
      </c>
      <c r="AX268" s="66" t="s">
        <v>83</v>
      </c>
      <c r="AY268" s="66" t="s">
        <v>173</v>
      </c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59"/>
      <c r="BL268" s="59"/>
      <c r="BM268" s="59"/>
      <c r="BN268" s="164"/>
      <c r="BO268" s="165"/>
      <c r="BP268" s="165"/>
      <c r="BQ268" s="165"/>
      <c r="BR268" s="59"/>
      <c r="BS268" s="59"/>
      <c r="BT268" s="59"/>
      <c r="BU268" s="59"/>
      <c r="BV268" s="59"/>
      <c r="BW268" s="59"/>
      <c r="BX268" s="59"/>
      <c r="BY268" s="59"/>
      <c r="BZ268" s="59" t="str">
        <f t="shared" si="705"/>
        <v>NA</v>
      </c>
      <c r="CA268" s="59" t="str">
        <f t="shared" si="706"/>
        <v/>
      </c>
      <c r="CB268" s="59" t="str">
        <f t="shared" si="707"/>
        <v>NA</v>
      </c>
      <c r="CC268" s="59" t="str">
        <f t="shared" si="708"/>
        <v/>
      </c>
      <c r="CD268" s="59" t="str">
        <f t="shared" si="709"/>
        <v>NA</v>
      </c>
      <c r="CE268" s="59" t="str">
        <f t="shared" si="710"/>
        <v/>
      </c>
      <c r="CF268" s="59"/>
      <c r="CG268" s="59"/>
      <c r="CH268" s="59"/>
      <c r="CI268" s="59" t="str">
        <f t="shared" ca="1" si="711"/>
        <v>DE 21 A 25 DIAS</v>
      </c>
      <c r="CJ268" s="59" t="str">
        <f t="shared" ca="1" si="712"/>
        <v>DE 21 A 25 DIAS</v>
      </c>
      <c r="CK268" s="59" t="str">
        <f t="shared" ca="1" si="713"/>
        <v>DE 21 A 25 DIAS</v>
      </c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>
        <f t="shared" si="717"/>
        <v>0</v>
      </c>
      <c r="DH268" s="8">
        <f t="shared" si="718"/>
        <v>0</v>
      </c>
      <c r="DI268" s="8">
        <f t="shared" si="719"/>
        <v>0</v>
      </c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56">
        <f t="shared" si="714"/>
        <v>0</v>
      </c>
    </row>
    <row r="269" spans="1:154" x14ac:dyDescent="0.25">
      <c r="A269" s="2"/>
      <c r="B269" s="2"/>
      <c r="C269" s="2"/>
      <c r="D269" s="2"/>
      <c r="E269" s="2"/>
      <c r="F269" s="2"/>
      <c r="G269" s="11"/>
      <c r="H269" s="4"/>
      <c r="I269" s="4"/>
      <c r="J269" s="9"/>
      <c r="K269" s="9"/>
      <c r="L269" s="10"/>
      <c r="M269" s="24"/>
      <c r="N269" s="7"/>
      <c r="O269" s="8"/>
      <c r="P269" s="25"/>
      <c r="Q269" s="8"/>
      <c r="R269" s="26"/>
      <c r="S269" s="8"/>
      <c r="T269" s="8"/>
      <c r="U269" s="8"/>
      <c r="V269" s="7"/>
      <c r="W269" s="7"/>
      <c r="X269" s="7"/>
      <c r="Y269" s="7"/>
      <c r="Z269" s="7"/>
      <c r="AA269" s="7"/>
      <c r="AB269" s="7"/>
      <c r="AC269" s="25">
        <f ca="1">TODAY()-29</f>
        <v>41093</v>
      </c>
      <c r="AD269" s="25">
        <f t="shared" ref="AD269:AE269" ca="1" si="731">TODAY()-29</f>
        <v>41093</v>
      </c>
      <c r="AE269" s="25">
        <f t="shared" ca="1" si="731"/>
        <v>41093</v>
      </c>
      <c r="AF269" s="25">
        <v>41085</v>
      </c>
      <c r="AG269" s="59" t="str">
        <f t="shared" ca="1" si="716"/>
        <v>6TA SEM</v>
      </c>
      <c r="AH269" s="8" t="s">
        <v>152</v>
      </c>
      <c r="AI269" s="8"/>
      <c r="AJ269" s="8"/>
      <c r="AK269" s="8"/>
      <c r="AL269" s="8"/>
      <c r="AM269" s="8"/>
      <c r="AN269" s="8"/>
      <c r="AO269" s="8"/>
      <c r="AP269" s="8"/>
      <c r="AQ269" s="8"/>
      <c r="AR269" s="59" t="str">
        <f t="shared" si="724"/>
        <v>SEM 26</v>
      </c>
      <c r="AS269" s="59" t="str">
        <f t="shared" si="725"/>
        <v>JUN</v>
      </c>
      <c r="AT269" s="59">
        <v>23000</v>
      </c>
      <c r="AU269" s="59" t="str">
        <f t="shared" si="704"/>
        <v>ENTRE 18 Y 25 MIL</v>
      </c>
      <c r="AV269" s="66" t="s">
        <v>70</v>
      </c>
      <c r="AW269" s="66" t="s">
        <v>77</v>
      </c>
      <c r="AX269" s="66" t="s">
        <v>82</v>
      </c>
      <c r="AY269" s="66" t="s">
        <v>173</v>
      </c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59"/>
      <c r="BL269" s="59"/>
      <c r="BM269" s="59"/>
      <c r="BN269" s="164"/>
      <c r="BO269" s="165"/>
      <c r="BP269" s="165"/>
      <c r="BQ269" s="165"/>
      <c r="BR269" s="59"/>
      <c r="BS269" s="59"/>
      <c r="BT269" s="59"/>
      <c r="BU269" s="59"/>
      <c r="BV269" s="59"/>
      <c r="BW269" s="59"/>
      <c r="BX269" s="59"/>
      <c r="BY269" s="59"/>
      <c r="BZ269" s="59" t="str">
        <f t="shared" si="705"/>
        <v>NA</v>
      </c>
      <c r="CA269" s="59" t="str">
        <f t="shared" si="706"/>
        <v/>
      </c>
      <c r="CB269" s="59" t="str">
        <f t="shared" si="707"/>
        <v>NA</v>
      </c>
      <c r="CC269" s="59" t="str">
        <f t="shared" si="708"/>
        <v/>
      </c>
      <c r="CD269" s="59" t="str">
        <f t="shared" si="709"/>
        <v>NA</v>
      </c>
      <c r="CE269" s="59" t="str">
        <f t="shared" si="710"/>
        <v/>
      </c>
      <c r="CF269" s="59"/>
      <c r="CG269" s="59"/>
      <c r="CH269" s="59"/>
      <c r="CI269" s="59" t="str">
        <f t="shared" ca="1" si="711"/>
        <v>DE 26 A 29 DIAS</v>
      </c>
      <c r="CJ269" s="59" t="str">
        <f t="shared" ca="1" si="712"/>
        <v>DE 26 A 29 DIAS</v>
      </c>
      <c r="CK269" s="59" t="str">
        <f t="shared" ca="1" si="713"/>
        <v>DE 26 A 29 DIAS</v>
      </c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>
        <f t="shared" si="717"/>
        <v>0</v>
      </c>
      <c r="DH269" s="8">
        <f t="shared" si="718"/>
        <v>0</v>
      </c>
      <c r="DI269" s="8">
        <f t="shared" si="719"/>
        <v>0</v>
      </c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56">
        <f t="shared" si="714"/>
        <v>0</v>
      </c>
    </row>
    <row r="270" spans="1:154" x14ac:dyDescent="0.25">
      <c r="A270" s="2"/>
      <c r="B270" s="2"/>
      <c r="C270" s="2"/>
      <c r="D270" s="2"/>
      <c r="E270" s="2"/>
      <c r="F270" s="2"/>
      <c r="G270" s="11"/>
      <c r="H270" s="4"/>
      <c r="I270" s="4"/>
      <c r="J270" s="9"/>
      <c r="K270" s="9"/>
      <c r="L270" s="10"/>
      <c r="M270" s="24"/>
      <c r="N270" s="7"/>
      <c r="O270" s="8"/>
      <c r="P270" s="25"/>
      <c r="Q270" s="8"/>
      <c r="R270" s="26"/>
      <c r="S270" s="8"/>
      <c r="T270" s="8"/>
      <c r="U270" s="8"/>
      <c r="V270" s="7"/>
      <c r="W270" s="7"/>
      <c r="X270" s="7"/>
      <c r="Y270" s="7"/>
      <c r="Z270" s="7"/>
      <c r="AA270" s="7"/>
      <c r="AB270" s="7"/>
      <c r="AC270" s="25">
        <f ca="1">TODAY()-30</f>
        <v>41092</v>
      </c>
      <c r="AD270" s="25">
        <f t="shared" ref="AD270:AE270" ca="1" si="732">TODAY()-30</f>
        <v>41092</v>
      </c>
      <c r="AE270" s="25">
        <f t="shared" ca="1" si="732"/>
        <v>41092</v>
      </c>
      <c r="AF270" s="25">
        <v>41085</v>
      </c>
      <c r="AG270" s="59" t="str">
        <f t="shared" ca="1" si="716"/>
        <v>6TA SEM</v>
      </c>
      <c r="AH270" s="8" t="s">
        <v>153</v>
      </c>
      <c r="AI270" s="8"/>
      <c r="AJ270" s="8"/>
      <c r="AK270" s="8"/>
      <c r="AL270" s="8"/>
      <c r="AM270" s="8"/>
      <c r="AN270" s="8"/>
      <c r="AO270" s="8"/>
      <c r="AP270" s="8"/>
      <c r="AQ270" s="8"/>
      <c r="AR270" s="59" t="str">
        <f t="shared" si="724"/>
        <v>SEM 26</v>
      </c>
      <c r="AS270" s="59" t="str">
        <f t="shared" si="725"/>
        <v>JUN</v>
      </c>
      <c r="AT270" s="59">
        <v>12000</v>
      </c>
      <c r="AU270" s="59" t="str">
        <f t="shared" si="704"/>
        <v>HASTA 12 MIL</v>
      </c>
      <c r="AV270" s="66" t="s">
        <v>71</v>
      </c>
      <c r="AW270" s="66" t="s">
        <v>77</v>
      </c>
      <c r="AX270" s="66" t="s">
        <v>82</v>
      </c>
      <c r="AY270" s="66" t="s">
        <v>173</v>
      </c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59"/>
      <c r="BL270" s="59"/>
      <c r="BM270" s="59"/>
      <c r="BN270" s="164"/>
      <c r="BO270" s="165"/>
      <c r="BP270" s="165"/>
      <c r="BQ270" s="165"/>
      <c r="BR270" s="59"/>
      <c r="BS270" s="59"/>
      <c r="BT270" s="59"/>
      <c r="BU270" s="59"/>
      <c r="BV270" s="59"/>
      <c r="BW270" s="59"/>
      <c r="BX270" s="59"/>
      <c r="BY270" s="59"/>
      <c r="BZ270" s="59" t="str">
        <f t="shared" si="705"/>
        <v>NA</v>
      </c>
      <c r="CA270" s="59" t="str">
        <f t="shared" si="706"/>
        <v/>
      </c>
      <c r="CB270" s="59" t="str">
        <f t="shared" si="707"/>
        <v>NA</v>
      </c>
      <c r="CC270" s="59" t="str">
        <f t="shared" si="708"/>
        <v/>
      </c>
      <c r="CD270" s="59" t="str">
        <f t="shared" si="709"/>
        <v>NA</v>
      </c>
      <c r="CE270" s="59" t="str">
        <f t="shared" si="710"/>
        <v/>
      </c>
      <c r="CF270" s="59"/>
      <c r="CG270" s="59"/>
      <c r="CH270" s="59"/>
      <c r="CI270" s="59" t="str">
        <f t="shared" ca="1" si="711"/>
        <v>30 DIAS</v>
      </c>
      <c r="CJ270" s="59" t="str">
        <f t="shared" ca="1" si="712"/>
        <v>30 DIAS</v>
      </c>
      <c r="CK270" s="59" t="str">
        <f t="shared" ca="1" si="713"/>
        <v>30 DIAS</v>
      </c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>
        <f t="shared" si="717"/>
        <v>0</v>
      </c>
      <c r="DH270" s="8">
        <f t="shared" si="718"/>
        <v>0</v>
      </c>
      <c r="DI270" s="8">
        <f t="shared" si="719"/>
        <v>0</v>
      </c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56">
        <f t="shared" si="714"/>
        <v>0</v>
      </c>
    </row>
    <row r="271" spans="1:154" x14ac:dyDescent="0.25">
      <c r="A271" s="2"/>
      <c r="B271" s="2"/>
      <c r="C271" s="2"/>
      <c r="D271" s="2"/>
      <c r="E271" s="2"/>
      <c r="F271" s="2"/>
      <c r="G271" s="11"/>
      <c r="H271" s="4"/>
      <c r="I271" s="4"/>
      <c r="J271" s="9"/>
      <c r="K271" s="9"/>
      <c r="L271" s="10"/>
      <c r="M271" s="24"/>
      <c r="N271" s="7"/>
      <c r="O271" s="8"/>
      <c r="P271" s="25"/>
      <c r="Q271" s="8"/>
      <c r="R271" s="26"/>
      <c r="S271" s="8"/>
      <c r="T271" s="8"/>
      <c r="U271" s="8"/>
      <c r="V271" s="7"/>
      <c r="W271" s="7"/>
      <c r="X271" s="7"/>
      <c r="Y271" s="7"/>
      <c r="Z271" s="7"/>
      <c r="AA271" s="7"/>
      <c r="AB271" s="7"/>
      <c r="AC271" s="25">
        <f ca="1">TODAY()-34</f>
        <v>41088</v>
      </c>
      <c r="AD271" s="25">
        <f t="shared" ref="AD271:AE271" ca="1" si="733">TODAY()-34</f>
        <v>41088</v>
      </c>
      <c r="AE271" s="25">
        <f t="shared" ca="1" si="733"/>
        <v>41088</v>
      </c>
      <c r="AF271" s="25">
        <v>41085</v>
      </c>
      <c r="AG271" s="59" t="str">
        <f t="shared" ca="1" si="716"/>
        <v>6TA SEM</v>
      </c>
      <c r="AH271" s="8" t="s">
        <v>154</v>
      </c>
      <c r="AI271" s="8"/>
      <c r="AJ271" s="8"/>
      <c r="AK271" s="8"/>
      <c r="AL271" s="8"/>
      <c r="AM271" s="8"/>
      <c r="AN271" s="8"/>
      <c r="AO271" s="8"/>
      <c r="AP271" s="8"/>
      <c r="AQ271" s="8"/>
      <c r="AR271" s="59" t="str">
        <f t="shared" si="724"/>
        <v>SEM 26</v>
      </c>
      <c r="AS271" s="59" t="str">
        <f t="shared" si="725"/>
        <v>JUN</v>
      </c>
      <c r="AT271" s="59">
        <v>12000</v>
      </c>
      <c r="AU271" s="59" t="str">
        <f t="shared" si="704"/>
        <v>HASTA 12 MIL</v>
      </c>
      <c r="AV271" s="66" t="s">
        <v>71</v>
      </c>
      <c r="AW271" s="66" t="s">
        <v>77</v>
      </c>
      <c r="AX271" s="66" t="s">
        <v>79</v>
      </c>
      <c r="AY271" s="66" t="s">
        <v>174</v>
      </c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59"/>
      <c r="BL271" s="59"/>
      <c r="BM271" s="59"/>
      <c r="BN271" s="164"/>
      <c r="BO271" s="165"/>
      <c r="BP271" s="165"/>
      <c r="BQ271" s="165"/>
      <c r="BR271" s="59"/>
      <c r="BS271" s="59"/>
      <c r="BT271" s="59"/>
      <c r="BU271" s="59"/>
      <c r="BV271" s="59"/>
      <c r="BW271" s="59"/>
      <c r="BX271" s="59"/>
      <c r="BY271" s="59"/>
      <c r="BZ271" s="59" t="str">
        <f t="shared" si="705"/>
        <v>NA</v>
      </c>
      <c r="CA271" s="59" t="str">
        <f t="shared" si="706"/>
        <v/>
      </c>
      <c r="CB271" s="59" t="str">
        <f t="shared" si="707"/>
        <v>NA</v>
      </c>
      <c r="CC271" s="59" t="str">
        <f t="shared" si="708"/>
        <v/>
      </c>
      <c r="CD271" s="59" t="str">
        <f t="shared" si="709"/>
        <v>NA</v>
      </c>
      <c r="CE271" s="59" t="str">
        <f t="shared" si="710"/>
        <v/>
      </c>
      <c r="CF271" s="59"/>
      <c r="CG271" s="59"/>
      <c r="CH271" s="59"/>
      <c r="CI271" s="59" t="str">
        <f t="shared" ca="1" si="711"/>
        <v>DE 31 A 35 DIAS</v>
      </c>
      <c r="CJ271" s="59" t="str">
        <f t="shared" ca="1" si="712"/>
        <v>DE 31 A 35 DIAS</v>
      </c>
      <c r="CK271" s="59" t="str">
        <f t="shared" ca="1" si="713"/>
        <v>DE 31 A 35 DIAS</v>
      </c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>
        <f t="shared" si="717"/>
        <v>0</v>
      </c>
      <c r="DH271" s="8">
        <f t="shared" si="718"/>
        <v>0</v>
      </c>
      <c r="DI271" s="8">
        <f t="shared" si="719"/>
        <v>0</v>
      </c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56">
        <f t="shared" si="714"/>
        <v>0</v>
      </c>
    </row>
    <row r="272" spans="1:154" x14ac:dyDescent="0.25">
      <c r="A272" s="2"/>
      <c r="B272" s="2"/>
      <c r="C272" s="2"/>
      <c r="D272" s="2"/>
      <c r="E272" s="2"/>
      <c r="F272" s="2"/>
      <c r="G272" s="11"/>
      <c r="H272" s="4"/>
      <c r="I272" s="4"/>
      <c r="J272" s="9"/>
      <c r="K272" s="9"/>
      <c r="L272" s="10"/>
      <c r="M272" s="24"/>
      <c r="N272" s="7"/>
      <c r="O272" s="8"/>
      <c r="P272" s="25"/>
      <c r="Q272" s="8"/>
      <c r="R272" s="26"/>
      <c r="S272" s="8"/>
      <c r="T272" s="8"/>
      <c r="U272" s="8"/>
      <c r="V272" s="7"/>
      <c r="W272" s="7"/>
      <c r="X272" s="7"/>
      <c r="Y272" s="7"/>
      <c r="Z272" s="7"/>
      <c r="AA272" s="7"/>
      <c r="AB272" s="7"/>
      <c r="AC272" s="25">
        <f ca="1">TODAY()-39</f>
        <v>41083</v>
      </c>
      <c r="AD272" s="25">
        <f t="shared" ref="AD272:AE272" ca="1" si="734">TODAY()-39</f>
        <v>41083</v>
      </c>
      <c r="AE272" s="25">
        <f t="shared" ca="1" si="734"/>
        <v>41083</v>
      </c>
      <c r="AF272" s="25">
        <v>41085</v>
      </c>
      <c r="AG272" s="59" t="str">
        <f t="shared" ca="1" si="716"/>
        <v>6TA SEM</v>
      </c>
      <c r="AH272" s="8" t="s">
        <v>155</v>
      </c>
      <c r="AI272" s="8"/>
      <c r="AJ272" s="8"/>
      <c r="AK272" s="8"/>
      <c r="AL272" s="8"/>
      <c r="AM272" s="8"/>
      <c r="AN272" s="8"/>
      <c r="AO272" s="8"/>
      <c r="AP272" s="8"/>
      <c r="AQ272" s="8"/>
      <c r="AR272" s="59" t="str">
        <f t="shared" si="724"/>
        <v>SEM 26</v>
      </c>
      <c r="AS272" s="59" t="str">
        <f t="shared" si="725"/>
        <v>JUN</v>
      </c>
      <c r="AT272" s="59">
        <v>8500</v>
      </c>
      <c r="AU272" s="59" t="str">
        <f t="shared" si="704"/>
        <v>HASTA 12 MIL</v>
      </c>
      <c r="AV272" s="66" t="s">
        <v>147</v>
      </c>
      <c r="AW272" s="66" t="s">
        <v>76</v>
      </c>
      <c r="AX272" s="66" t="s">
        <v>79</v>
      </c>
      <c r="AY272" s="66" t="s">
        <v>174</v>
      </c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59"/>
      <c r="BL272" s="59"/>
      <c r="BM272" s="59"/>
      <c r="BN272" s="164"/>
      <c r="BO272" s="165"/>
      <c r="BP272" s="165"/>
      <c r="BQ272" s="165"/>
      <c r="BR272" s="59"/>
      <c r="BS272" s="59"/>
      <c r="BT272" s="59"/>
      <c r="BU272" s="59"/>
      <c r="BV272" s="59"/>
      <c r="BW272" s="59"/>
      <c r="BX272" s="59"/>
      <c r="BY272" s="59"/>
      <c r="BZ272" s="59" t="str">
        <f t="shared" si="705"/>
        <v>NA</v>
      </c>
      <c r="CA272" s="59" t="str">
        <f t="shared" si="706"/>
        <v/>
      </c>
      <c r="CB272" s="59" t="str">
        <f t="shared" si="707"/>
        <v>NA</v>
      </c>
      <c r="CC272" s="59" t="str">
        <f t="shared" si="708"/>
        <v/>
      </c>
      <c r="CD272" s="59" t="str">
        <f t="shared" si="709"/>
        <v>NA</v>
      </c>
      <c r="CE272" s="59" t="str">
        <f t="shared" si="710"/>
        <v/>
      </c>
      <c r="CF272" s="59"/>
      <c r="CG272" s="59"/>
      <c r="CH272" s="59"/>
      <c r="CI272" s="59" t="str">
        <f t="shared" ca="1" si="711"/>
        <v>DE 36 A 45 DIAS</v>
      </c>
      <c r="CJ272" s="59" t="str">
        <f t="shared" ca="1" si="712"/>
        <v>DE 36 A 45 DIAS</v>
      </c>
      <c r="CK272" s="59" t="str">
        <f t="shared" ca="1" si="713"/>
        <v>DE 36 A 45 DIAS</v>
      </c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>
        <f t="shared" si="717"/>
        <v>0</v>
      </c>
      <c r="DH272" s="8">
        <f t="shared" si="718"/>
        <v>0</v>
      </c>
      <c r="DI272" s="8">
        <f t="shared" si="719"/>
        <v>0</v>
      </c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56">
        <f t="shared" si="714"/>
        <v>0</v>
      </c>
    </row>
    <row r="273" spans="1:154" x14ac:dyDescent="0.25">
      <c r="A273" s="2"/>
      <c r="B273" s="2"/>
      <c r="C273" s="2"/>
      <c r="D273" s="2"/>
      <c r="E273" s="2"/>
      <c r="F273" s="2"/>
      <c r="G273" s="11"/>
      <c r="H273" s="4"/>
      <c r="I273" s="4"/>
      <c r="J273" s="9"/>
      <c r="K273" s="9"/>
      <c r="L273" s="10"/>
      <c r="M273" s="24"/>
      <c r="N273" s="7"/>
      <c r="O273" s="8"/>
      <c r="P273" s="25"/>
      <c r="Q273" s="8"/>
      <c r="R273" s="26"/>
      <c r="S273" s="8"/>
      <c r="T273" s="8"/>
      <c r="U273" s="8"/>
      <c r="V273" s="7"/>
      <c r="W273" s="7"/>
      <c r="X273" s="7"/>
      <c r="Y273" s="7"/>
      <c r="Z273" s="7"/>
      <c r="AA273" s="7"/>
      <c r="AB273" s="7"/>
      <c r="AC273" s="25">
        <f ca="1">TODAY()-45</f>
        <v>41077</v>
      </c>
      <c r="AD273" s="25">
        <f t="shared" ref="AD273:AE273" ca="1" si="735">TODAY()-45</f>
        <v>41077</v>
      </c>
      <c r="AE273" s="25">
        <f t="shared" ca="1" si="735"/>
        <v>41077</v>
      </c>
      <c r="AF273" s="25">
        <v>41085</v>
      </c>
      <c r="AG273" s="59" t="str">
        <f t="shared" ca="1" si="716"/>
        <v>6TA SEM</v>
      </c>
      <c r="AH273" s="8" t="s">
        <v>156</v>
      </c>
      <c r="AI273" s="8"/>
      <c r="AJ273" s="8"/>
      <c r="AK273" s="8"/>
      <c r="AL273" s="8"/>
      <c r="AM273" s="8"/>
      <c r="AN273" s="8"/>
      <c r="AO273" s="8"/>
      <c r="AP273" s="8"/>
      <c r="AQ273" s="8"/>
      <c r="AR273" s="59" t="str">
        <f t="shared" si="724"/>
        <v>SEM 26</v>
      </c>
      <c r="AS273" s="59" t="str">
        <f t="shared" si="725"/>
        <v>JUN</v>
      </c>
      <c r="AT273" s="59">
        <v>14500</v>
      </c>
      <c r="AU273" s="59" t="str">
        <f t="shared" si="704"/>
        <v>ENTRE 12 Y 18 MIL</v>
      </c>
      <c r="AV273" s="66" t="s">
        <v>147</v>
      </c>
      <c r="AW273" s="66" t="s">
        <v>76</v>
      </c>
      <c r="AX273" s="66" t="s">
        <v>79</v>
      </c>
      <c r="AY273" s="66" t="s">
        <v>174</v>
      </c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59"/>
      <c r="BL273" s="59"/>
      <c r="BM273" s="59"/>
      <c r="BN273" s="164"/>
      <c r="BO273" s="165"/>
      <c r="BP273" s="165"/>
      <c r="BQ273" s="165"/>
      <c r="BR273" s="59"/>
      <c r="BS273" s="59"/>
      <c r="BT273" s="59"/>
      <c r="BU273" s="59"/>
      <c r="BV273" s="59"/>
      <c r="BW273" s="59"/>
      <c r="BX273" s="59"/>
      <c r="BY273" s="59"/>
      <c r="BZ273" s="59" t="str">
        <f t="shared" si="705"/>
        <v>NA</v>
      </c>
      <c r="CA273" s="59" t="str">
        <f t="shared" si="706"/>
        <v/>
      </c>
      <c r="CB273" s="59" t="str">
        <f t="shared" si="707"/>
        <v>NA</v>
      </c>
      <c r="CC273" s="59" t="str">
        <f t="shared" si="708"/>
        <v/>
      </c>
      <c r="CD273" s="59" t="str">
        <f t="shared" si="709"/>
        <v>NA</v>
      </c>
      <c r="CE273" s="59" t="str">
        <f t="shared" si="710"/>
        <v/>
      </c>
      <c r="CF273" s="59"/>
      <c r="CG273" s="59"/>
      <c r="CH273" s="59"/>
      <c r="CI273" s="59" t="str">
        <f t="shared" ca="1" si="711"/>
        <v>DE 36 A 45 DIAS</v>
      </c>
      <c r="CJ273" s="59" t="str">
        <f t="shared" ca="1" si="712"/>
        <v>DE 36 A 45 DIAS</v>
      </c>
      <c r="CK273" s="59" t="str">
        <f t="shared" ca="1" si="713"/>
        <v>DE 36 A 45 DIAS</v>
      </c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>
        <f t="shared" si="717"/>
        <v>0</v>
      </c>
      <c r="DH273" s="8">
        <f t="shared" si="718"/>
        <v>0</v>
      </c>
      <c r="DI273" s="8">
        <f t="shared" si="719"/>
        <v>0</v>
      </c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56">
        <f t="shared" si="714"/>
        <v>0</v>
      </c>
    </row>
    <row r="274" spans="1:154" x14ac:dyDescent="0.25">
      <c r="A274" s="2"/>
      <c r="B274" s="2"/>
      <c r="C274" s="2"/>
      <c r="D274" s="2"/>
      <c r="E274" s="2"/>
      <c r="F274" s="2"/>
      <c r="G274" s="11"/>
      <c r="H274" s="4"/>
      <c r="I274" s="4"/>
      <c r="J274" s="9"/>
      <c r="K274" s="9"/>
      <c r="L274" s="10"/>
      <c r="M274" s="24"/>
      <c r="N274" s="7"/>
      <c r="O274" s="8"/>
      <c r="P274" s="25"/>
      <c r="Q274" s="8"/>
      <c r="R274" s="26"/>
      <c r="S274" s="8"/>
      <c r="T274" s="8"/>
      <c r="U274" s="8"/>
      <c r="V274" s="7"/>
      <c r="W274" s="7"/>
      <c r="X274" s="7"/>
      <c r="Y274" s="7"/>
      <c r="Z274" s="7"/>
      <c r="AA274" s="7"/>
      <c r="AB274" s="7"/>
      <c r="AC274" s="25">
        <f ca="1">TODAY()-50</f>
        <v>41072</v>
      </c>
      <c r="AD274" s="25">
        <f t="shared" ref="AD274:AE274" ca="1" si="736">TODAY()-50</f>
        <v>41072</v>
      </c>
      <c r="AE274" s="25">
        <f t="shared" ca="1" si="736"/>
        <v>41072</v>
      </c>
      <c r="AF274" s="25">
        <v>41085</v>
      </c>
      <c r="AG274" s="59" t="str">
        <f t="shared" ca="1" si="716"/>
        <v>6TA SEM</v>
      </c>
      <c r="AH274" s="8" t="s">
        <v>157</v>
      </c>
      <c r="AI274" s="8"/>
      <c r="AJ274" s="8"/>
      <c r="AK274" s="8"/>
      <c r="AL274" s="8"/>
      <c r="AM274" s="8"/>
      <c r="AN274" s="8"/>
      <c r="AO274" s="8"/>
      <c r="AP274" s="8"/>
      <c r="AQ274" s="8"/>
      <c r="AR274" s="59" t="str">
        <f t="shared" si="724"/>
        <v>SEM 26</v>
      </c>
      <c r="AS274" s="59" t="str">
        <f t="shared" si="725"/>
        <v>JUN</v>
      </c>
      <c r="AT274" s="59">
        <v>17000</v>
      </c>
      <c r="AU274" s="59" t="str">
        <f t="shared" si="704"/>
        <v>ENTRE 12 Y 18 MIL</v>
      </c>
      <c r="AV274" s="66" t="s">
        <v>148</v>
      </c>
      <c r="AW274" s="66" t="s">
        <v>76</v>
      </c>
      <c r="AX274" s="66" t="s">
        <v>79</v>
      </c>
      <c r="AY274" s="66" t="s">
        <v>171</v>
      </c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59"/>
      <c r="BL274" s="59"/>
      <c r="BM274" s="59"/>
      <c r="BN274" s="164"/>
      <c r="BO274" s="165"/>
      <c r="BP274" s="165"/>
      <c r="BQ274" s="165"/>
      <c r="BR274" s="59"/>
      <c r="BS274" s="59"/>
      <c r="BT274" s="59"/>
      <c r="BU274" s="59"/>
      <c r="BV274" s="59"/>
      <c r="BW274" s="59"/>
      <c r="BX274" s="59"/>
      <c r="BY274" s="59"/>
      <c r="BZ274" s="59" t="str">
        <f t="shared" si="705"/>
        <v>NA</v>
      </c>
      <c r="CA274" s="59" t="str">
        <f t="shared" si="706"/>
        <v/>
      </c>
      <c r="CB274" s="59" t="str">
        <f t="shared" si="707"/>
        <v>NA</v>
      </c>
      <c r="CC274" s="59" t="str">
        <f t="shared" si="708"/>
        <v/>
      </c>
      <c r="CD274" s="59" t="str">
        <f t="shared" si="709"/>
        <v>NA</v>
      </c>
      <c r="CE274" s="59" t="str">
        <f t="shared" si="710"/>
        <v/>
      </c>
      <c r="CF274" s="59"/>
      <c r="CG274" s="59"/>
      <c r="CH274" s="59"/>
      <c r="CI274" s="59" t="str">
        <f t="shared" ca="1" si="711"/>
        <v>MAYOR A 45 DIAS</v>
      </c>
      <c r="CJ274" s="59" t="str">
        <f t="shared" ca="1" si="712"/>
        <v>MAYOR A 45 DIAS</v>
      </c>
      <c r="CK274" s="59" t="str">
        <f t="shared" ca="1" si="713"/>
        <v>MAYOR A 45 DIAS</v>
      </c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>
        <f t="shared" si="717"/>
        <v>0</v>
      </c>
      <c r="DH274" s="8">
        <f t="shared" si="718"/>
        <v>0</v>
      </c>
      <c r="DI274" s="8">
        <f t="shared" si="719"/>
        <v>0</v>
      </c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56">
        <f t="shared" si="714"/>
        <v>0</v>
      </c>
    </row>
    <row r="275" spans="1:154" x14ac:dyDescent="0.25">
      <c r="A275" s="2"/>
      <c r="B275" s="2"/>
      <c r="C275" s="2"/>
      <c r="D275" s="2"/>
      <c r="E275" s="2"/>
      <c r="F275" s="2"/>
      <c r="G275" s="11"/>
      <c r="H275" s="4"/>
      <c r="I275" s="4"/>
      <c r="J275" s="9"/>
      <c r="K275" s="9"/>
      <c r="L275" s="10"/>
      <c r="M275" s="24"/>
      <c r="N275" s="7"/>
      <c r="O275" s="8"/>
      <c r="P275" s="25"/>
      <c r="Q275" s="8"/>
      <c r="R275" s="26"/>
      <c r="S275" s="8"/>
      <c r="T275" s="8"/>
      <c r="U275" s="8"/>
      <c r="V275" s="7"/>
      <c r="W275" s="7"/>
      <c r="X275" s="7"/>
      <c r="Y275" s="7"/>
      <c r="Z275" s="7"/>
      <c r="AA275" s="7"/>
      <c r="AB275" s="7"/>
      <c r="AC275" s="25">
        <f ca="1">TODAY()-4</f>
        <v>41118</v>
      </c>
      <c r="AD275" s="25">
        <f t="shared" ref="AD275:AE275" ca="1" si="737">TODAY()-4</f>
        <v>41118</v>
      </c>
      <c r="AE275" s="25">
        <f t="shared" ca="1" si="737"/>
        <v>41118</v>
      </c>
      <c r="AF275" s="25">
        <v>41092</v>
      </c>
      <c r="AG275" s="59" t="str">
        <f t="shared" ca="1" si="716"/>
        <v>5TA SEM</v>
      </c>
      <c r="AH275" s="8" t="s">
        <v>158</v>
      </c>
      <c r="AI275" s="8"/>
      <c r="AJ275" s="8"/>
      <c r="AK275" s="8"/>
      <c r="AL275" s="8"/>
      <c r="AM275" s="8"/>
      <c r="AN275" s="8"/>
      <c r="AO275" s="8"/>
      <c r="AP275" s="8"/>
      <c r="AQ275" s="8"/>
      <c r="AR275" s="59" t="str">
        <f t="shared" si="724"/>
        <v>SEM 27</v>
      </c>
      <c r="AS275" s="59" t="str">
        <f t="shared" si="725"/>
        <v>JUL</v>
      </c>
      <c r="AT275" s="59">
        <v>24000</v>
      </c>
      <c r="AU275" s="59" t="str">
        <f t="shared" si="704"/>
        <v>ENTRE 18 Y 25 MIL</v>
      </c>
      <c r="AV275" s="66" t="s">
        <v>148</v>
      </c>
      <c r="AW275" s="66" t="s">
        <v>150</v>
      </c>
      <c r="AX275" s="66" t="s">
        <v>79</v>
      </c>
      <c r="AY275" s="66" t="s">
        <v>171</v>
      </c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59"/>
      <c r="BL275" s="59"/>
      <c r="BM275" s="59"/>
      <c r="BN275" s="164"/>
      <c r="BO275" s="165"/>
      <c r="BP275" s="165"/>
      <c r="BQ275" s="165"/>
      <c r="BR275" s="59"/>
      <c r="BS275" s="59"/>
      <c r="BT275" s="59"/>
      <c r="BU275" s="59"/>
      <c r="BV275" s="59"/>
      <c r="BW275" s="59"/>
      <c r="BX275" s="59"/>
      <c r="BY275" s="59"/>
      <c r="BZ275" s="59" t="str">
        <f t="shared" si="705"/>
        <v>NA</v>
      </c>
      <c r="CA275" s="59" t="str">
        <f t="shared" si="706"/>
        <v/>
      </c>
      <c r="CB275" s="59" t="str">
        <f t="shared" si="707"/>
        <v>NA</v>
      </c>
      <c r="CC275" s="59" t="str">
        <f t="shared" si="708"/>
        <v/>
      </c>
      <c r="CD275" s="59" t="str">
        <f t="shared" si="709"/>
        <v>NA</v>
      </c>
      <c r="CE275" s="59" t="str">
        <f t="shared" si="710"/>
        <v/>
      </c>
      <c r="CF275" s="59"/>
      <c r="CG275" s="59"/>
      <c r="CH275" s="59"/>
      <c r="CI275" s="59" t="str">
        <f t="shared" ca="1" si="711"/>
        <v>HASTA 5 DIAS</v>
      </c>
      <c r="CJ275" s="59" t="str">
        <f t="shared" ca="1" si="712"/>
        <v>HASTA 5 DIAS</v>
      </c>
      <c r="CK275" s="59" t="str">
        <f t="shared" ca="1" si="713"/>
        <v>HASTA 5 DIAS</v>
      </c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>
        <f t="shared" si="717"/>
        <v>0</v>
      </c>
      <c r="DH275" s="8">
        <f t="shared" si="718"/>
        <v>0</v>
      </c>
      <c r="DI275" s="8">
        <f t="shared" si="719"/>
        <v>0</v>
      </c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56">
        <f t="shared" si="714"/>
        <v>0</v>
      </c>
    </row>
    <row r="276" spans="1:154" x14ac:dyDescent="0.25">
      <c r="A276" s="2"/>
      <c r="B276" s="2"/>
      <c r="C276" s="2"/>
      <c r="D276" s="2"/>
      <c r="E276" s="2"/>
      <c r="F276" s="2"/>
      <c r="G276" s="11"/>
      <c r="H276" s="4"/>
      <c r="I276" s="4"/>
      <c r="J276" s="9"/>
      <c r="K276" s="9"/>
      <c r="L276" s="10"/>
      <c r="M276" s="24"/>
      <c r="N276" s="7"/>
      <c r="O276" s="8"/>
      <c r="P276" s="25"/>
      <c r="Q276" s="8"/>
      <c r="R276" s="26"/>
      <c r="S276" s="8"/>
      <c r="T276" s="8"/>
      <c r="U276" s="8"/>
      <c r="V276" s="7"/>
      <c r="W276" s="7"/>
      <c r="X276" s="7"/>
      <c r="Y276" s="7"/>
      <c r="Z276" s="7"/>
      <c r="AA276" s="7"/>
      <c r="AB276" s="7"/>
      <c r="AC276" s="25">
        <f ca="1">TODAY()-9</f>
        <v>41113</v>
      </c>
      <c r="AD276" s="25">
        <f t="shared" ref="AD276:AE276" ca="1" si="738">TODAY()-9</f>
        <v>41113</v>
      </c>
      <c r="AE276" s="25">
        <f t="shared" ca="1" si="738"/>
        <v>41113</v>
      </c>
      <c r="AF276" s="25">
        <v>41092</v>
      </c>
      <c r="AG276" s="59" t="str">
        <f t="shared" ca="1" si="716"/>
        <v>5TA SEM</v>
      </c>
      <c r="AH276" s="8" t="s">
        <v>159</v>
      </c>
      <c r="AI276" s="8"/>
      <c r="AJ276" s="8"/>
      <c r="AK276" s="8"/>
      <c r="AL276" s="8"/>
      <c r="AM276" s="8"/>
      <c r="AN276" s="8"/>
      <c r="AO276" s="8"/>
      <c r="AP276" s="8"/>
      <c r="AQ276" s="8"/>
      <c r="AR276" s="59" t="str">
        <f t="shared" si="724"/>
        <v>SEM 27</v>
      </c>
      <c r="AS276" s="59" t="str">
        <f t="shared" si="725"/>
        <v>JUL</v>
      </c>
      <c r="AT276" s="59">
        <v>80000</v>
      </c>
      <c r="AU276" s="59" t="str">
        <f t="shared" si="704"/>
        <v>MAYOR A 45 MILES</v>
      </c>
      <c r="AV276" s="66" t="s">
        <v>71</v>
      </c>
      <c r="AW276" s="66" t="s">
        <v>150</v>
      </c>
      <c r="AX276" s="66" t="s">
        <v>82</v>
      </c>
      <c r="AY276" s="66" t="s">
        <v>172</v>
      </c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59"/>
      <c r="BL276" s="59"/>
      <c r="BM276" s="59"/>
      <c r="BN276" s="164"/>
      <c r="BO276" s="165"/>
      <c r="BP276" s="165"/>
      <c r="BQ276" s="165"/>
      <c r="BR276" s="59"/>
      <c r="BS276" s="59"/>
      <c r="BT276" s="59"/>
      <c r="BU276" s="59"/>
      <c r="BV276" s="59"/>
      <c r="BW276" s="59"/>
      <c r="BX276" s="59"/>
      <c r="BY276" s="59"/>
      <c r="BZ276" s="59" t="str">
        <f t="shared" si="705"/>
        <v>NA</v>
      </c>
      <c r="CA276" s="59" t="str">
        <f t="shared" si="706"/>
        <v/>
      </c>
      <c r="CB276" s="59" t="str">
        <f t="shared" si="707"/>
        <v>NA</v>
      </c>
      <c r="CC276" s="59" t="str">
        <f t="shared" si="708"/>
        <v/>
      </c>
      <c r="CD276" s="59" t="str">
        <f t="shared" si="709"/>
        <v>NA</v>
      </c>
      <c r="CE276" s="59" t="str">
        <f t="shared" si="710"/>
        <v/>
      </c>
      <c r="CF276" s="59"/>
      <c r="CG276" s="59"/>
      <c r="CH276" s="59"/>
      <c r="CI276" s="59" t="str">
        <f t="shared" ca="1" si="711"/>
        <v>DE 6 A 10 DIAS</v>
      </c>
      <c r="CJ276" s="59" t="str">
        <f t="shared" ca="1" si="712"/>
        <v>DE 6 A 10 DIAS</v>
      </c>
      <c r="CK276" s="59" t="str">
        <f t="shared" ca="1" si="713"/>
        <v>DE 6 A 10 DIAS</v>
      </c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>
        <f t="shared" si="717"/>
        <v>0</v>
      </c>
      <c r="DH276" s="8">
        <f t="shared" si="718"/>
        <v>0</v>
      </c>
      <c r="DI276" s="8">
        <f t="shared" si="719"/>
        <v>0</v>
      </c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56">
        <f t="shared" si="714"/>
        <v>0</v>
      </c>
    </row>
    <row r="277" spans="1:154" x14ac:dyDescent="0.25">
      <c r="A277" s="2"/>
      <c r="B277" s="2"/>
      <c r="C277" s="2"/>
      <c r="D277" s="2"/>
      <c r="E277" s="2"/>
      <c r="F277" s="2"/>
      <c r="G277" s="11"/>
      <c r="H277" s="4"/>
      <c r="I277" s="4"/>
      <c r="J277" s="9"/>
      <c r="K277" s="9"/>
      <c r="L277" s="10"/>
      <c r="M277" s="24"/>
      <c r="N277" s="7"/>
      <c r="O277" s="8"/>
      <c r="P277" s="25"/>
      <c r="Q277" s="8"/>
      <c r="R277" s="26"/>
      <c r="S277" s="8"/>
      <c r="T277" s="8"/>
      <c r="U277" s="8"/>
      <c r="V277" s="7"/>
      <c r="W277" s="7"/>
      <c r="X277" s="7"/>
      <c r="Y277" s="7"/>
      <c r="Z277" s="7"/>
      <c r="AA277" s="7"/>
      <c r="AB277" s="7"/>
      <c r="AC277" s="25">
        <f ca="1">TODAY()-14</f>
        <v>41108</v>
      </c>
      <c r="AD277" s="25">
        <f t="shared" ref="AD277:AE277" ca="1" si="739">TODAY()-14</f>
        <v>41108</v>
      </c>
      <c r="AE277" s="25">
        <f t="shared" ca="1" si="739"/>
        <v>41108</v>
      </c>
      <c r="AF277" s="25">
        <v>41092</v>
      </c>
      <c r="AG277" s="59" t="str">
        <f t="shared" ca="1" si="716"/>
        <v>5TA SEM</v>
      </c>
      <c r="AH277" s="8" t="s">
        <v>123</v>
      </c>
      <c r="AI277" s="8"/>
      <c r="AJ277" s="8"/>
      <c r="AK277" s="8"/>
      <c r="AL277" s="8"/>
      <c r="AM277" s="8"/>
      <c r="AN277" s="8"/>
      <c r="AO277" s="8"/>
      <c r="AP277" s="8"/>
      <c r="AQ277" s="8"/>
      <c r="AR277" s="59" t="str">
        <f t="shared" si="724"/>
        <v>SEM 27</v>
      </c>
      <c r="AS277" s="59" t="str">
        <f t="shared" si="725"/>
        <v>JUL</v>
      </c>
      <c r="AT277" s="59">
        <v>24000</v>
      </c>
      <c r="AU277" s="59" t="str">
        <f t="shared" si="704"/>
        <v>ENTRE 18 Y 25 MIL</v>
      </c>
      <c r="AV277" s="66" t="s">
        <v>70</v>
      </c>
      <c r="AW277" s="66" t="s">
        <v>77</v>
      </c>
      <c r="AX277" s="66" t="s">
        <v>79</v>
      </c>
      <c r="AY277" s="66" t="s">
        <v>172</v>
      </c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59"/>
      <c r="BL277" s="59"/>
      <c r="BM277" s="59"/>
      <c r="BN277" s="164"/>
      <c r="BO277" s="165"/>
      <c r="BP277" s="165"/>
      <c r="BQ277" s="165"/>
      <c r="BR277" s="59"/>
      <c r="BS277" s="59"/>
      <c r="BT277" s="59"/>
      <c r="BU277" s="59"/>
      <c r="BV277" s="59"/>
      <c r="BW277" s="59"/>
      <c r="BX277" s="59"/>
      <c r="BY277" s="59"/>
      <c r="BZ277" s="59" t="str">
        <f t="shared" si="705"/>
        <v>NA</v>
      </c>
      <c r="CA277" s="59" t="str">
        <f t="shared" si="706"/>
        <v/>
      </c>
      <c r="CB277" s="59" t="str">
        <f t="shared" si="707"/>
        <v>NA</v>
      </c>
      <c r="CC277" s="59" t="str">
        <f t="shared" si="708"/>
        <v/>
      </c>
      <c r="CD277" s="59" t="str">
        <f t="shared" si="709"/>
        <v>NA</v>
      </c>
      <c r="CE277" s="59" t="str">
        <f t="shared" si="710"/>
        <v/>
      </c>
      <c r="CF277" s="59"/>
      <c r="CG277" s="59"/>
      <c r="CH277" s="59"/>
      <c r="CI277" s="59" t="str">
        <f t="shared" ca="1" si="711"/>
        <v>DE 11 A 15 DIAS</v>
      </c>
      <c r="CJ277" s="59" t="str">
        <f t="shared" ca="1" si="712"/>
        <v>DE 11 A 15 DIAS</v>
      </c>
      <c r="CK277" s="59" t="str">
        <f t="shared" ca="1" si="713"/>
        <v>DE 11 A 15 DIAS</v>
      </c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>
        <f t="shared" si="717"/>
        <v>0</v>
      </c>
      <c r="DH277" s="8">
        <f t="shared" si="718"/>
        <v>0</v>
      </c>
      <c r="DI277" s="8">
        <f t="shared" si="719"/>
        <v>0</v>
      </c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56">
        <f t="shared" si="714"/>
        <v>0</v>
      </c>
    </row>
    <row r="278" spans="1:154" x14ac:dyDescent="0.25">
      <c r="A278" s="2"/>
      <c r="B278" s="2"/>
      <c r="C278" s="2"/>
      <c r="D278" s="2"/>
      <c r="E278" s="2"/>
      <c r="F278" s="2"/>
      <c r="G278" s="11"/>
      <c r="H278" s="4"/>
      <c r="I278" s="4"/>
      <c r="J278" s="9"/>
      <c r="K278" s="9"/>
      <c r="L278" s="10"/>
      <c r="M278" s="24"/>
      <c r="N278" s="7"/>
      <c r="O278" s="8"/>
      <c r="P278" s="25"/>
      <c r="Q278" s="8"/>
      <c r="R278" s="26"/>
      <c r="S278" s="8"/>
      <c r="T278" s="8"/>
      <c r="U278" s="8"/>
      <c r="V278" s="7"/>
      <c r="W278" s="7"/>
      <c r="X278" s="7"/>
      <c r="Y278" s="7"/>
      <c r="Z278" s="7"/>
      <c r="AA278" s="7"/>
      <c r="AB278" s="7"/>
      <c r="AC278" s="25">
        <f ca="1">TODAY()-19</f>
        <v>41103</v>
      </c>
      <c r="AD278" s="25">
        <f t="shared" ref="AD278:AE278" ca="1" si="740">TODAY()-19</f>
        <v>41103</v>
      </c>
      <c r="AE278" s="25">
        <f t="shared" ca="1" si="740"/>
        <v>41103</v>
      </c>
      <c r="AF278" s="25">
        <v>41092</v>
      </c>
      <c r="AG278" s="59" t="str">
        <f t="shared" ca="1" si="716"/>
        <v>5TA SEM</v>
      </c>
      <c r="AH278" s="8" t="s">
        <v>134</v>
      </c>
      <c r="AI278" s="8"/>
      <c r="AJ278" s="8"/>
      <c r="AK278" s="8"/>
      <c r="AL278" s="8"/>
      <c r="AM278" s="8"/>
      <c r="AN278" s="8"/>
      <c r="AO278" s="8"/>
      <c r="AP278" s="8"/>
      <c r="AQ278" s="8"/>
      <c r="AR278" s="59" t="str">
        <f t="shared" si="724"/>
        <v>SEM 27</v>
      </c>
      <c r="AS278" s="59" t="str">
        <f t="shared" si="725"/>
        <v>JUL</v>
      </c>
      <c r="AT278" s="59">
        <v>44000</v>
      </c>
      <c r="AU278" s="59" t="str">
        <f t="shared" si="704"/>
        <v>ENTRE 35 Y 45 MIL</v>
      </c>
      <c r="AV278" s="66" t="s">
        <v>73</v>
      </c>
      <c r="AW278" s="66" t="s">
        <v>76</v>
      </c>
      <c r="AX278" s="66" t="s">
        <v>85</v>
      </c>
      <c r="AY278" s="66" t="s">
        <v>174</v>
      </c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59"/>
      <c r="BL278" s="59"/>
      <c r="BM278" s="59"/>
      <c r="BN278" s="164"/>
      <c r="BO278" s="165"/>
      <c r="BP278" s="165"/>
      <c r="BQ278" s="165"/>
      <c r="BR278" s="59"/>
      <c r="BS278" s="59"/>
      <c r="BT278" s="59"/>
      <c r="BU278" s="59"/>
      <c r="BV278" s="59"/>
      <c r="BW278" s="59"/>
      <c r="BX278" s="59"/>
      <c r="BY278" s="59"/>
      <c r="BZ278" s="59" t="str">
        <f t="shared" si="705"/>
        <v>NA</v>
      </c>
      <c r="CA278" s="59" t="str">
        <f t="shared" si="706"/>
        <v/>
      </c>
      <c r="CB278" s="59" t="str">
        <f t="shared" si="707"/>
        <v>NA</v>
      </c>
      <c r="CC278" s="59" t="str">
        <f t="shared" si="708"/>
        <v/>
      </c>
      <c r="CD278" s="59" t="str">
        <f t="shared" si="709"/>
        <v>NA</v>
      </c>
      <c r="CE278" s="59" t="str">
        <f t="shared" si="710"/>
        <v/>
      </c>
      <c r="CF278" s="59"/>
      <c r="CG278" s="59"/>
      <c r="CH278" s="59"/>
      <c r="CI278" s="59" t="str">
        <f t="shared" ca="1" si="711"/>
        <v>DE 16 A 20 DIAS</v>
      </c>
      <c r="CJ278" s="59" t="str">
        <f t="shared" ca="1" si="712"/>
        <v>DE 16 A 20 DIAS</v>
      </c>
      <c r="CK278" s="59" t="str">
        <f t="shared" ca="1" si="713"/>
        <v>DE 16 A 20 DIAS</v>
      </c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>
        <f t="shared" si="717"/>
        <v>0</v>
      </c>
      <c r="DH278" s="8">
        <f t="shared" si="718"/>
        <v>0</v>
      </c>
      <c r="DI278" s="8">
        <f t="shared" si="719"/>
        <v>0</v>
      </c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56">
        <f t="shared" si="714"/>
        <v>0</v>
      </c>
    </row>
    <row r="279" spans="1:154" x14ac:dyDescent="0.25">
      <c r="A279" s="2"/>
      <c r="B279" s="2"/>
      <c r="C279" s="2"/>
      <c r="D279" s="2"/>
      <c r="E279" s="2"/>
      <c r="F279" s="2"/>
      <c r="G279" s="11"/>
      <c r="H279" s="4"/>
      <c r="I279" s="4"/>
      <c r="J279" s="9"/>
      <c r="K279" s="9"/>
      <c r="L279" s="10"/>
      <c r="M279" s="24"/>
      <c r="N279" s="7"/>
      <c r="O279" s="8"/>
      <c r="P279" s="25"/>
      <c r="Q279" s="8"/>
      <c r="R279" s="26"/>
      <c r="S279" s="8"/>
      <c r="T279" s="8"/>
      <c r="U279" s="8"/>
      <c r="V279" s="7"/>
      <c r="W279" s="7"/>
      <c r="X279" s="7"/>
      <c r="Y279" s="7"/>
      <c r="Z279" s="7"/>
      <c r="AA279" s="7"/>
      <c r="AB279" s="7"/>
      <c r="AC279" s="25">
        <f ca="1">TODAY()-25</f>
        <v>41097</v>
      </c>
      <c r="AD279" s="25">
        <f t="shared" ref="AD279:AE279" ca="1" si="741">TODAY()-25</f>
        <v>41097</v>
      </c>
      <c r="AE279" s="25">
        <f t="shared" ca="1" si="741"/>
        <v>41097</v>
      </c>
      <c r="AF279" s="25">
        <v>41095</v>
      </c>
      <c r="AG279" s="59" t="str">
        <f t="shared" ca="1" si="716"/>
        <v>4TA SEM</v>
      </c>
      <c r="AH279" s="8" t="s">
        <v>135</v>
      </c>
      <c r="AI279" s="8"/>
      <c r="AJ279" s="8"/>
      <c r="AK279" s="8"/>
      <c r="AL279" s="8"/>
      <c r="AM279" s="8"/>
      <c r="AN279" s="8"/>
      <c r="AO279" s="8"/>
      <c r="AP279" s="8"/>
      <c r="AQ279" s="8"/>
      <c r="AR279" s="59" t="str">
        <f t="shared" si="724"/>
        <v>SEM 27</v>
      </c>
      <c r="AS279" s="59" t="str">
        <f t="shared" si="725"/>
        <v>JUL</v>
      </c>
      <c r="AT279" s="59">
        <v>17000</v>
      </c>
      <c r="AU279" s="59" t="str">
        <f t="shared" si="704"/>
        <v>ENTRE 12 Y 18 MIL</v>
      </c>
      <c r="AV279" s="66" t="s">
        <v>73</v>
      </c>
      <c r="AW279" s="66" t="s">
        <v>78</v>
      </c>
      <c r="AX279" s="66" t="s">
        <v>80</v>
      </c>
      <c r="AY279" s="66" t="s">
        <v>175</v>
      </c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59"/>
      <c r="BL279" s="59"/>
      <c r="BM279" s="59"/>
      <c r="BN279" s="164"/>
      <c r="BO279" s="165"/>
      <c r="BP279" s="165"/>
      <c r="BQ279" s="165"/>
      <c r="BR279" s="59"/>
      <c r="BS279" s="59"/>
      <c r="BT279" s="59"/>
      <c r="BU279" s="59"/>
      <c r="BV279" s="59"/>
      <c r="BW279" s="59"/>
      <c r="BX279" s="59"/>
      <c r="BY279" s="59"/>
      <c r="BZ279" s="59" t="str">
        <f t="shared" si="705"/>
        <v>NA</v>
      </c>
      <c r="CA279" s="59" t="str">
        <f t="shared" si="706"/>
        <v/>
      </c>
      <c r="CB279" s="59" t="str">
        <f t="shared" si="707"/>
        <v>NA</v>
      </c>
      <c r="CC279" s="59" t="str">
        <f t="shared" si="708"/>
        <v/>
      </c>
      <c r="CD279" s="59" t="str">
        <f t="shared" si="709"/>
        <v>NA</v>
      </c>
      <c r="CE279" s="59" t="str">
        <f t="shared" si="710"/>
        <v/>
      </c>
      <c r="CF279" s="59"/>
      <c r="CG279" s="59"/>
      <c r="CH279" s="59"/>
      <c r="CI279" s="59" t="str">
        <f t="shared" ca="1" si="711"/>
        <v>DE 21 A 25 DIAS</v>
      </c>
      <c r="CJ279" s="59" t="str">
        <f t="shared" ca="1" si="712"/>
        <v>DE 21 A 25 DIAS</v>
      </c>
      <c r="CK279" s="59" t="str">
        <f t="shared" ca="1" si="713"/>
        <v>DE 21 A 25 DIAS</v>
      </c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>
        <f t="shared" si="717"/>
        <v>0</v>
      </c>
      <c r="DH279" s="8">
        <f t="shared" si="718"/>
        <v>0</v>
      </c>
      <c r="DI279" s="8">
        <f t="shared" si="719"/>
        <v>0</v>
      </c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56">
        <f t="shared" si="714"/>
        <v>0</v>
      </c>
    </row>
    <row r="280" spans="1:154" x14ac:dyDescent="0.25">
      <c r="A280" s="2"/>
      <c r="B280" s="2"/>
      <c r="C280" s="2"/>
      <c r="D280" s="2"/>
      <c r="E280" s="2"/>
      <c r="F280" s="2"/>
      <c r="G280" s="11"/>
      <c r="H280" s="4"/>
      <c r="I280" s="4"/>
      <c r="J280" s="9"/>
      <c r="K280" s="9"/>
      <c r="L280" s="10"/>
      <c r="M280" s="24"/>
      <c r="N280" s="7"/>
      <c r="O280" s="8"/>
      <c r="P280" s="25"/>
      <c r="Q280" s="8"/>
      <c r="R280" s="26"/>
      <c r="S280" s="8"/>
      <c r="T280" s="8"/>
      <c r="U280" s="8"/>
      <c r="V280" s="7"/>
      <c r="W280" s="7"/>
      <c r="X280" s="7"/>
      <c r="Y280" s="7"/>
      <c r="Z280" s="7"/>
      <c r="AA280" s="7"/>
      <c r="AB280" s="7"/>
      <c r="AC280" s="25">
        <f ca="1">TODAY()-29</f>
        <v>41093</v>
      </c>
      <c r="AD280" s="25">
        <f t="shared" ref="AD280:AE280" ca="1" si="742">TODAY()-29</f>
        <v>41093</v>
      </c>
      <c r="AE280" s="25">
        <f t="shared" ca="1" si="742"/>
        <v>41093</v>
      </c>
      <c r="AF280" s="25">
        <v>41095</v>
      </c>
      <c r="AG280" s="59" t="str">
        <f t="shared" ca="1" si="716"/>
        <v>4TA SEM</v>
      </c>
      <c r="AH280" s="8" t="s">
        <v>136</v>
      </c>
      <c r="AI280" s="8"/>
      <c r="AJ280" s="8"/>
      <c r="AK280" s="8"/>
      <c r="AL280" s="8"/>
      <c r="AM280" s="8"/>
      <c r="AN280" s="8"/>
      <c r="AO280" s="8"/>
      <c r="AP280" s="8"/>
      <c r="AQ280" s="8"/>
      <c r="AR280" s="59" t="str">
        <f t="shared" si="724"/>
        <v>SEM 27</v>
      </c>
      <c r="AS280" s="59" t="str">
        <f t="shared" si="725"/>
        <v>JUL</v>
      </c>
      <c r="AT280" s="59">
        <v>23000</v>
      </c>
      <c r="AU280" s="59" t="str">
        <f t="shared" si="704"/>
        <v>ENTRE 18 Y 25 MIL</v>
      </c>
      <c r="AV280" s="66" t="s">
        <v>73</v>
      </c>
      <c r="AW280" s="66" t="s">
        <v>76</v>
      </c>
      <c r="AX280" s="66" t="s">
        <v>80</v>
      </c>
      <c r="AY280" s="66" t="s">
        <v>175</v>
      </c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59"/>
      <c r="BL280" s="59"/>
      <c r="BM280" s="59"/>
      <c r="BN280" s="164"/>
      <c r="BO280" s="165"/>
      <c r="BP280" s="165"/>
      <c r="BQ280" s="165"/>
      <c r="BR280" s="59"/>
      <c r="BS280" s="59"/>
      <c r="BT280" s="59"/>
      <c r="BU280" s="59"/>
      <c r="BV280" s="59"/>
      <c r="BW280" s="59"/>
      <c r="BX280" s="59"/>
      <c r="BY280" s="59"/>
      <c r="BZ280" s="59" t="str">
        <f t="shared" si="705"/>
        <v>NA</v>
      </c>
      <c r="CA280" s="59" t="str">
        <f t="shared" si="706"/>
        <v/>
      </c>
      <c r="CB280" s="59" t="str">
        <f t="shared" si="707"/>
        <v>NA</v>
      </c>
      <c r="CC280" s="59" t="str">
        <f t="shared" si="708"/>
        <v/>
      </c>
      <c r="CD280" s="59" t="str">
        <f t="shared" si="709"/>
        <v>NA</v>
      </c>
      <c r="CE280" s="59" t="str">
        <f t="shared" si="710"/>
        <v/>
      </c>
      <c r="CF280" s="59"/>
      <c r="CG280" s="59"/>
      <c r="CH280" s="59"/>
      <c r="CI280" s="59" t="str">
        <f t="shared" ca="1" si="711"/>
        <v>DE 26 A 29 DIAS</v>
      </c>
      <c r="CJ280" s="59" t="str">
        <f t="shared" ca="1" si="712"/>
        <v>DE 26 A 29 DIAS</v>
      </c>
      <c r="CK280" s="59" t="str">
        <f t="shared" ca="1" si="713"/>
        <v>DE 26 A 29 DIAS</v>
      </c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>
        <f t="shared" si="717"/>
        <v>0</v>
      </c>
      <c r="DH280" s="8">
        <f t="shared" si="718"/>
        <v>0</v>
      </c>
      <c r="DI280" s="8">
        <f t="shared" si="719"/>
        <v>0</v>
      </c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56">
        <f t="shared" si="714"/>
        <v>0</v>
      </c>
    </row>
    <row r="281" spans="1:154" x14ac:dyDescent="0.25">
      <c r="A281" s="2"/>
      <c r="B281" s="2"/>
      <c r="C281" s="2"/>
      <c r="D281" s="2"/>
      <c r="E281" s="2"/>
      <c r="F281" s="2"/>
      <c r="G281" s="11"/>
      <c r="H281" s="4"/>
      <c r="I281" s="4"/>
      <c r="J281" s="9"/>
      <c r="K281" s="9"/>
      <c r="L281" s="10"/>
      <c r="M281" s="24"/>
      <c r="N281" s="7"/>
      <c r="O281" s="8"/>
      <c r="P281" s="25"/>
      <c r="Q281" s="8"/>
      <c r="R281" s="26"/>
      <c r="S281" s="8"/>
      <c r="T281" s="8"/>
      <c r="U281" s="8"/>
      <c r="V281" s="7"/>
      <c r="W281" s="7"/>
      <c r="X281" s="7"/>
      <c r="Y281" s="7"/>
      <c r="Z281" s="7"/>
      <c r="AA281" s="7"/>
      <c r="AB281" s="7"/>
      <c r="AC281" s="25">
        <f ca="1">TODAY()-30</f>
        <v>41092</v>
      </c>
      <c r="AD281" s="25">
        <f t="shared" ref="AD281:AE281" ca="1" si="743">TODAY()-30</f>
        <v>41092</v>
      </c>
      <c r="AE281" s="25">
        <f t="shared" ca="1" si="743"/>
        <v>41092</v>
      </c>
      <c r="AF281" s="25">
        <v>41095</v>
      </c>
      <c r="AG281" s="59" t="str">
        <f t="shared" ca="1" si="716"/>
        <v>4TA SEM</v>
      </c>
      <c r="AH281" s="8" t="s">
        <v>137</v>
      </c>
      <c r="AI281" s="8"/>
      <c r="AJ281" s="8"/>
      <c r="AK281" s="8"/>
      <c r="AL281" s="8"/>
      <c r="AM281" s="8"/>
      <c r="AN281" s="8"/>
      <c r="AO281" s="8"/>
      <c r="AP281" s="8"/>
      <c r="AQ281" s="8"/>
      <c r="AR281" s="59" t="str">
        <f t="shared" si="724"/>
        <v>SEM 27</v>
      </c>
      <c r="AS281" s="59" t="str">
        <f t="shared" si="725"/>
        <v>JUL</v>
      </c>
      <c r="AT281" s="59">
        <v>12000</v>
      </c>
      <c r="AU281" s="59" t="str">
        <f t="shared" si="704"/>
        <v>HASTA 12 MIL</v>
      </c>
      <c r="AV281" s="66" t="s">
        <v>73</v>
      </c>
      <c r="AW281" s="66" t="s">
        <v>78</v>
      </c>
      <c r="AX281" s="66" t="s">
        <v>80</v>
      </c>
      <c r="AY281" s="66" t="s">
        <v>175</v>
      </c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59"/>
      <c r="BL281" s="59"/>
      <c r="BM281" s="59"/>
      <c r="BN281" s="164"/>
      <c r="BO281" s="165"/>
      <c r="BP281" s="165"/>
      <c r="BQ281" s="165"/>
      <c r="BR281" s="59"/>
      <c r="BS281" s="59"/>
      <c r="BT281" s="59"/>
      <c r="BU281" s="59"/>
      <c r="BV281" s="59"/>
      <c r="BW281" s="59"/>
      <c r="BX281" s="59"/>
      <c r="BY281" s="59"/>
      <c r="BZ281" s="59" t="str">
        <f t="shared" si="705"/>
        <v>NA</v>
      </c>
      <c r="CA281" s="59" t="str">
        <f t="shared" si="706"/>
        <v/>
      </c>
      <c r="CB281" s="59" t="str">
        <f t="shared" si="707"/>
        <v>NA</v>
      </c>
      <c r="CC281" s="59" t="str">
        <f t="shared" si="708"/>
        <v/>
      </c>
      <c r="CD281" s="59" t="str">
        <f t="shared" si="709"/>
        <v>NA</v>
      </c>
      <c r="CE281" s="59" t="str">
        <f t="shared" si="710"/>
        <v/>
      </c>
      <c r="CF281" s="59"/>
      <c r="CG281" s="59"/>
      <c r="CH281" s="59"/>
      <c r="CI281" s="59" t="str">
        <f t="shared" ca="1" si="711"/>
        <v>30 DIAS</v>
      </c>
      <c r="CJ281" s="59" t="str">
        <f t="shared" ca="1" si="712"/>
        <v>30 DIAS</v>
      </c>
      <c r="CK281" s="59" t="str">
        <f t="shared" ca="1" si="713"/>
        <v>30 DIAS</v>
      </c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>
        <f t="shared" si="717"/>
        <v>0</v>
      </c>
      <c r="DH281" s="8">
        <f t="shared" si="718"/>
        <v>0</v>
      </c>
      <c r="DI281" s="8">
        <f t="shared" si="719"/>
        <v>0</v>
      </c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56">
        <f t="shared" si="714"/>
        <v>0</v>
      </c>
    </row>
    <row r="282" spans="1:154" x14ac:dyDescent="0.25">
      <c r="A282" s="2"/>
      <c r="B282" s="2"/>
      <c r="C282" s="2"/>
      <c r="D282" s="2"/>
      <c r="E282" s="2"/>
      <c r="F282" s="2"/>
      <c r="G282" s="11"/>
      <c r="H282" s="4"/>
      <c r="I282" s="4"/>
      <c r="J282" s="9"/>
      <c r="K282" s="9"/>
      <c r="L282" s="10"/>
      <c r="M282" s="24"/>
      <c r="N282" s="7"/>
      <c r="O282" s="8"/>
      <c r="P282" s="25"/>
      <c r="Q282" s="8"/>
      <c r="R282" s="26"/>
      <c r="S282" s="8"/>
      <c r="T282" s="8"/>
      <c r="U282" s="8"/>
      <c r="V282" s="7"/>
      <c r="W282" s="7"/>
      <c r="X282" s="7"/>
      <c r="Y282" s="7"/>
      <c r="Z282" s="7"/>
      <c r="AA282" s="7"/>
      <c r="AB282" s="7"/>
      <c r="AC282" s="25">
        <f ca="1">TODAY()-34</f>
        <v>41088</v>
      </c>
      <c r="AD282" s="25">
        <f t="shared" ref="AD282:AE282" ca="1" si="744">TODAY()-34</f>
        <v>41088</v>
      </c>
      <c r="AE282" s="25">
        <f t="shared" ca="1" si="744"/>
        <v>41088</v>
      </c>
      <c r="AF282" s="25">
        <v>41095</v>
      </c>
      <c r="AG282" s="59" t="str">
        <f t="shared" ca="1" si="716"/>
        <v>4TA SEM</v>
      </c>
      <c r="AH282" s="8" t="s">
        <v>138</v>
      </c>
      <c r="AI282" s="8"/>
      <c r="AJ282" s="8"/>
      <c r="AK282" s="8"/>
      <c r="AL282" s="8"/>
      <c r="AM282" s="8"/>
      <c r="AN282" s="8"/>
      <c r="AO282" s="8"/>
      <c r="AP282" s="8"/>
      <c r="AQ282" s="8"/>
      <c r="AR282" s="59" t="str">
        <f t="shared" si="724"/>
        <v>SEM 27</v>
      </c>
      <c r="AS282" s="59" t="str">
        <f t="shared" si="725"/>
        <v>JUL</v>
      </c>
      <c r="AT282" s="59">
        <v>12000</v>
      </c>
      <c r="AU282" s="59" t="str">
        <f t="shared" si="704"/>
        <v>HASTA 12 MIL</v>
      </c>
      <c r="AV282" s="66" t="s">
        <v>73</v>
      </c>
      <c r="AW282" s="66" t="s">
        <v>76</v>
      </c>
      <c r="AX282" s="66" t="s">
        <v>85</v>
      </c>
      <c r="AY282" s="66" t="s">
        <v>173</v>
      </c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59"/>
      <c r="BL282" s="59"/>
      <c r="BM282" s="59"/>
      <c r="BN282" s="164"/>
      <c r="BO282" s="165"/>
      <c r="BP282" s="165"/>
      <c r="BQ282" s="165"/>
      <c r="BR282" s="59"/>
      <c r="BS282" s="59"/>
      <c r="BT282" s="59"/>
      <c r="BU282" s="59"/>
      <c r="BV282" s="59"/>
      <c r="BW282" s="59"/>
      <c r="BX282" s="59"/>
      <c r="BY282" s="59"/>
      <c r="BZ282" s="59" t="str">
        <f t="shared" si="705"/>
        <v>NA</v>
      </c>
      <c r="CA282" s="59" t="str">
        <f t="shared" si="706"/>
        <v/>
      </c>
      <c r="CB282" s="59" t="str">
        <f t="shared" si="707"/>
        <v>NA</v>
      </c>
      <c r="CC282" s="59" t="str">
        <f t="shared" si="708"/>
        <v/>
      </c>
      <c r="CD282" s="59" t="str">
        <f t="shared" si="709"/>
        <v>NA</v>
      </c>
      <c r="CE282" s="59" t="str">
        <f t="shared" si="710"/>
        <v/>
      </c>
      <c r="CF282" s="59"/>
      <c r="CG282" s="59"/>
      <c r="CH282" s="59"/>
      <c r="CI282" s="59" t="str">
        <f t="shared" ca="1" si="711"/>
        <v>DE 31 A 35 DIAS</v>
      </c>
      <c r="CJ282" s="59" t="str">
        <f t="shared" ca="1" si="712"/>
        <v>DE 31 A 35 DIAS</v>
      </c>
      <c r="CK282" s="59" t="str">
        <f t="shared" ca="1" si="713"/>
        <v>DE 31 A 35 DIAS</v>
      </c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>
        <f t="shared" si="717"/>
        <v>0</v>
      </c>
      <c r="DH282" s="8">
        <f t="shared" si="718"/>
        <v>0</v>
      </c>
      <c r="DI282" s="8">
        <f t="shared" si="719"/>
        <v>0</v>
      </c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56">
        <f t="shared" si="714"/>
        <v>0</v>
      </c>
    </row>
    <row r="283" spans="1:154" x14ac:dyDescent="0.25">
      <c r="A283" s="2"/>
      <c r="B283" s="2"/>
      <c r="C283" s="2"/>
      <c r="D283" s="2"/>
      <c r="E283" s="2"/>
      <c r="F283" s="2"/>
      <c r="G283" s="11"/>
      <c r="H283" s="4"/>
      <c r="I283" s="4"/>
      <c r="J283" s="9"/>
      <c r="K283" s="9"/>
      <c r="L283" s="10"/>
      <c r="M283" s="24"/>
      <c r="N283" s="7"/>
      <c r="O283" s="8"/>
      <c r="P283" s="25"/>
      <c r="Q283" s="8"/>
      <c r="R283" s="26"/>
      <c r="S283" s="8"/>
      <c r="T283" s="8"/>
      <c r="U283" s="8"/>
      <c r="V283" s="7"/>
      <c r="W283" s="7"/>
      <c r="X283" s="7"/>
      <c r="Y283" s="7"/>
      <c r="Z283" s="7"/>
      <c r="AA283" s="7"/>
      <c r="AB283" s="7"/>
      <c r="AC283" s="25">
        <f ca="1">TODAY()-39</f>
        <v>41083</v>
      </c>
      <c r="AD283" s="25">
        <f t="shared" ref="AD283:AE283" ca="1" si="745">TODAY()-39</f>
        <v>41083</v>
      </c>
      <c r="AE283" s="25">
        <f t="shared" ca="1" si="745"/>
        <v>41083</v>
      </c>
      <c r="AF283" s="25">
        <v>41095</v>
      </c>
      <c r="AG283" s="59" t="str">
        <f t="shared" ca="1" si="716"/>
        <v>4TA SEM</v>
      </c>
      <c r="AH283" s="8" t="s">
        <v>139</v>
      </c>
      <c r="AI283" s="8"/>
      <c r="AJ283" s="8"/>
      <c r="AK283" s="8"/>
      <c r="AL283" s="8"/>
      <c r="AM283" s="8"/>
      <c r="AN283" s="8"/>
      <c r="AO283" s="8"/>
      <c r="AP283" s="8"/>
      <c r="AQ283" s="8"/>
      <c r="AR283" s="59" t="str">
        <f t="shared" si="724"/>
        <v>SEM 27</v>
      </c>
      <c r="AS283" s="59" t="str">
        <f t="shared" si="725"/>
        <v>JUL</v>
      </c>
      <c r="AT283" s="59">
        <v>8500</v>
      </c>
      <c r="AU283" s="59" t="str">
        <f t="shared" si="704"/>
        <v>HASTA 12 MIL</v>
      </c>
      <c r="AV283" s="66" t="s">
        <v>148</v>
      </c>
      <c r="AW283" s="66" t="s">
        <v>78</v>
      </c>
      <c r="AX283" s="66" t="s">
        <v>85</v>
      </c>
      <c r="AY283" s="66" t="s">
        <v>173</v>
      </c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59"/>
      <c r="BL283" s="59"/>
      <c r="BM283" s="59"/>
      <c r="BN283" s="164"/>
      <c r="BO283" s="165"/>
      <c r="BP283" s="165"/>
      <c r="BQ283" s="165"/>
      <c r="BR283" s="59"/>
      <c r="BS283" s="59"/>
      <c r="BT283" s="59"/>
      <c r="BU283" s="59"/>
      <c r="BV283" s="59"/>
      <c r="BW283" s="59"/>
      <c r="BX283" s="59"/>
      <c r="BY283" s="59"/>
      <c r="BZ283" s="59" t="str">
        <f t="shared" si="705"/>
        <v>NA</v>
      </c>
      <c r="CA283" s="59" t="str">
        <f t="shared" si="706"/>
        <v/>
      </c>
      <c r="CB283" s="59" t="str">
        <f t="shared" si="707"/>
        <v>NA</v>
      </c>
      <c r="CC283" s="59" t="str">
        <f t="shared" si="708"/>
        <v/>
      </c>
      <c r="CD283" s="59" t="str">
        <f t="shared" si="709"/>
        <v>NA</v>
      </c>
      <c r="CE283" s="59" t="str">
        <f t="shared" si="710"/>
        <v/>
      </c>
      <c r="CF283" s="59"/>
      <c r="CG283" s="59"/>
      <c r="CH283" s="59"/>
      <c r="CI283" s="59" t="str">
        <f t="shared" ca="1" si="711"/>
        <v>DE 36 A 45 DIAS</v>
      </c>
      <c r="CJ283" s="59" t="str">
        <f t="shared" ca="1" si="712"/>
        <v>DE 36 A 45 DIAS</v>
      </c>
      <c r="CK283" s="59" t="str">
        <f t="shared" ca="1" si="713"/>
        <v>DE 36 A 45 DIAS</v>
      </c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>
        <f t="shared" si="717"/>
        <v>0</v>
      </c>
      <c r="DH283" s="8">
        <f t="shared" si="718"/>
        <v>0</v>
      </c>
      <c r="DI283" s="8">
        <f t="shared" si="719"/>
        <v>0</v>
      </c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56">
        <f t="shared" si="714"/>
        <v>0</v>
      </c>
    </row>
    <row r="284" spans="1:154" x14ac:dyDescent="0.25">
      <c r="A284" s="2"/>
      <c r="B284" s="2"/>
      <c r="C284" s="2"/>
      <c r="D284" s="2"/>
      <c r="E284" s="2"/>
      <c r="F284" s="2"/>
      <c r="G284" s="11"/>
      <c r="H284" s="4"/>
      <c r="I284" s="4"/>
      <c r="J284" s="9"/>
      <c r="K284" s="9"/>
      <c r="L284" s="10"/>
      <c r="M284" s="24"/>
      <c r="N284" s="7"/>
      <c r="O284" s="8"/>
      <c r="P284" s="25"/>
      <c r="Q284" s="8"/>
      <c r="R284" s="26"/>
      <c r="S284" s="8"/>
      <c r="T284" s="8"/>
      <c r="U284" s="8"/>
      <c r="V284" s="7"/>
      <c r="W284" s="7"/>
      <c r="X284" s="7"/>
      <c r="Y284" s="7"/>
      <c r="Z284" s="7"/>
      <c r="AA284" s="7"/>
      <c r="AB284" s="7"/>
      <c r="AC284" s="25">
        <f ca="1">TODAY()-45</f>
        <v>41077</v>
      </c>
      <c r="AD284" s="25">
        <f t="shared" ref="AD284:AE284" ca="1" si="746">TODAY()-45</f>
        <v>41077</v>
      </c>
      <c r="AE284" s="25">
        <f t="shared" ca="1" si="746"/>
        <v>41077</v>
      </c>
      <c r="AF284" s="25">
        <v>41095</v>
      </c>
      <c r="AG284" s="59" t="str">
        <f t="shared" ca="1" si="716"/>
        <v>4TA SEM</v>
      </c>
      <c r="AH284" s="8" t="s">
        <v>140</v>
      </c>
      <c r="AI284" s="8"/>
      <c r="AJ284" s="8"/>
      <c r="AK284" s="8"/>
      <c r="AL284" s="8"/>
      <c r="AM284" s="8"/>
      <c r="AN284" s="8"/>
      <c r="AO284" s="8"/>
      <c r="AP284" s="8"/>
      <c r="AQ284" s="8"/>
      <c r="AR284" s="59" t="str">
        <f t="shared" si="724"/>
        <v>SEM 27</v>
      </c>
      <c r="AS284" s="59" t="str">
        <f t="shared" si="725"/>
        <v>JUL</v>
      </c>
      <c r="AT284" s="59">
        <v>14500</v>
      </c>
      <c r="AU284" s="59" t="str">
        <f t="shared" si="704"/>
        <v>ENTRE 12 Y 18 MIL</v>
      </c>
      <c r="AV284" s="66" t="s">
        <v>147</v>
      </c>
      <c r="AW284" s="66" t="s">
        <v>78</v>
      </c>
      <c r="AX284" s="66" t="s">
        <v>85</v>
      </c>
      <c r="AY284" s="66" t="s">
        <v>173</v>
      </c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59"/>
      <c r="BL284" s="59"/>
      <c r="BM284" s="59"/>
      <c r="BN284" s="164"/>
      <c r="BO284" s="165"/>
      <c r="BP284" s="165"/>
      <c r="BQ284" s="165"/>
      <c r="BR284" s="59"/>
      <c r="BS284" s="59"/>
      <c r="BT284" s="59"/>
      <c r="BU284" s="59"/>
      <c r="BV284" s="59"/>
      <c r="BW284" s="59"/>
      <c r="BX284" s="59"/>
      <c r="BY284" s="59"/>
      <c r="BZ284" s="59" t="str">
        <f t="shared" si="705"/>
        <v>NA</v>
      </c>
      <c r="CA284" s="59" t="str">
        <f t="shared" si="706"/>
        <v/>
      </c>
      <c r="CB284" s="59" t="str">
        <f t="shared" si="707"/>
        <v>NA</v>
      </c>
      <c r="CC284" s="59" t="str">
        <f t="shared" si="708"/>
        <v/>
      </c>
      <c r="CD284" s="59" t="str">
        <f t="shared" si="709"/>
        <v>NA</v>
      </c>
      <c r="CE284" s="59" t="str">
        <f t="shared" si="710"/>
        <v/>
      </c>
      <c r="CF284" s="59"/>
      <c r="CG284" s="59"/>
      <c r="CH284" s="59"/>
      <c r="CI284" s="59" t="str">
        <f t="shared" ca="1" si="711"/>
        <v>DE 36 A 45 DIAS</v>
      </c>
      <c r="CJ284" s="59" t="str">
        <f t="shared" ca="1" si="712"/>
        <v>DE 36 A 45 DIAS</v>
      </c>
      <c r="CK284" s="59" t="str">
        <f t="shared" ca="1" si="713"/>
        <v>DE 36 A 45 DIAS</v>
      </c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>
        <f t="shared" si="717"/>
        <v>0</v>
      </c>
      <c r="DH284" s="8">
        <f t="shared" si="718"/>
        <v>0</v>
      </c>
      <c r="DI284" s="8">
        <f t="shared" si="719"/>
        <v>0</v>
      </c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56">
        <f t="shared" si="714"/>
        <v>0</v>
      </c>
    </row>
    <row r="285" spans="1:154" x14ac:dyDescent="0.25">
      <c r="A285" s="2"/>
      <c r="B285" s="2"/>
      <c r="C285" s="2"/>
      <c r="D285" s="2"/>
      <c r="E285" s="2"/>
      <c r="F285" s="2"/>
      <c r="G285" s="11"/>
      <c r="H285" s="4"/>
      <c r="I285" s="4"/>
      <c r="J285" s="9"/>
      <c r="K285" s="9"/>
      <c r="L285" s="10"/>
      <c r="M285" s="24"/>
      <c r="N285" s="7"/>
      <c r="O285" s="8"/>
      <c r="P285" s="25"/>
      <c r="Q285" s="8"/>
      <c r="R285" s="26"/>
      <c r="S285" s="8"/>
      <c r="T285" s="8"/>
      <c r="U285" s="8"/>
      <c r="V285" s="7"/>
      <c r="W285" s="7"/>
      <c r="X285" s="7"/>
      <c r="Y285" s="7"/>
      <c r="Z285" s="7"/>
      <c r="AA285" s="7"/>
      <c r="AB285" s="7"/>
      <c r="AC285" s="25">
        <f ca="1">TODAY()-50</f>
        <v>41072</v>
      </c>
      <c r="AD285" s="25">
        <f t="shared" ref="AD285:AE285" ca="1" si="747">TODAY()-50</f>
        <v>41072</v>
      </c>
      <c r="AE285" s="25">
        <f t="shared" ca="1" si="747"/>
        <v>41072</v>
      </c>
      <c r="AF285" s="25">
        <v>41095</v>
      </c>
      <c r="AG285" s="59" t="str">
        <f t="shared" ca="1" si="716"/>
        <v>4TA SEM</v>
      </c>
      <c r="AH285" s="8" t="s">
        <v>141</v>
      </c>
      <c r="AI285" s="8"/>
      <c r="AJ285" s="8"/>
      <c r="AK285" s="8"/>
      <c r="AL285" s="8"/>
      <c r="AM285" s="8"/>
      <c r="AN285" s="8"/>
      <c r="AO285" s="8"/>
      <c r="AP285" s="8"/>
      <c r="AQ285" s="8"/>
      <c r="AR285" s="59" t="str">
        <f t="shared" si="724"/>
        <v>SEM 27</v>
      </c>
      <c r="AS285" s="59" t="str">
        <f t="shared" si="725"/>
        <v>JUL</v>
      </c>
      <c r="AT285" s="59">
        <v>17000</v>
      </c>
      <c r="AU285" s="59" t="str">
        <f t="shared" si="704"/>
        <v>ENTRE 12 Y 18 MIL</v>
      </c>
      <c r="AV285" s="66" t="s">
        <v>74</v>
      </c>
      <c r="AW285" s="66" t="s">
        <v>77</v>
      </c>
      <c r="AX285" s="66" t="s">
        <v>85</v>
      </c>
      <c r="AY285" s="66" t="s">
        <v>173</v>
      </c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59"/>
      <c r="BL285" s="59"/>
      <c r="BM285" s="59"/>
      <c r="BN285" s="164"/>
      <c r="BO285" s="165"/>
      <c r="BP285" s="165"/>
      <c r="BQ285" s="165"/>
      <c r="BR285" s="59"/>
      <c r="BS285" s="59"/>
      <c r="BT285" s="59"/>
      <c r="BU285" s="59"/>
      <c r="BV285" s="59"/>
      <c r="BW285" s="59"/>
      <c r="BX285" s="59"/>
      <c r="BY285" s="59"/>
      <c r="BZ285" s="59" t="str">
        <f t="shared" si="705"/>
        <v>NA</v>
      </c>
      <c r="CA285" s="59" t="str">
        <f t="shared" si="706"/>
        <v/>
      </c>
      <c r="CB285" s="59" t="str">
        <f t="shared" si="707"/>
        <v>NA</v>
      </c>
      <c r="CC285" s="59" t="str">
        <f t="shared" si="708"/>
        <v/>
      </c>
      <c r="CD285" s="59" t="str">
        <f t="shared" si="709"/>
        <v>NA</v>
      </c>
      <c r="CE285" s="59" t="str">
        <f t="shared" si="710"/>
        <v/>
      </c>
      <c r="CF285" s="59"/>
      <c r="CG285" s="59"/>
      <c r="CH285" s="59"/>
      <c r="CI285" s="59" t="str">
        <f t="shared" ca="1" si="711"/>
        <v>MAYOR A 45 DIAS</v>
      </c>
      <c r="CJ285" s="59" t="str">
        <f t="shared" ca="1" si="712"/>
        <v>MAYOR A 45 DIAS</v>
      </c>
      <c r="CK285" s="59" t="str">
        <f t="shared" ca="1" si="713"/>
        <v>MAYOR A 45 DIAS</v>
      </c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>
        <f t="shared" si="717"/>
        <v>0</v>
      </c>
      <c r="DH285" s="8">
        <f t="shared" si="718"/>
        <v>0</v>
      </c>
      <c r="DI285" s="8">
        <f t="shared" si="719"/>
        <v>0</v>
      </c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56">
        <f t="shared" si="714"/>
        <v>0</v>
      </c>
    </row>
    <row r="286" spans="1:154" x14ac:dyDescent="0.25">
      <c r="A286" s="2"/>
      <c r="B286" s="2"/>
      <c r="C286" s="2"/>
      <c r="D286" s="2"/>
      <c r="E286" s="2"/>
      <c r="F286" s="2"/>
      <c r="G286" s="11"/>
      <c r="H286" s="4"/>
      <c r="I286" s="4"/>
      <c r="J286" s="9"/>
      <c r="K286" s="9"/>
      <c r="L286" s="10"/>
      <c r="M286" s="24"/>
      <c r="N286" s="7"/>
      <c r="O286" s="8"/>
      <c r="P286" s="25"/>
      <c r="Q286" s="8"/>
      <c r="R286" s="26"/>
      <c r="S286" s="8"/>
      <c r="T286" s="8"/>
      <c r="U286" s="8"/>
      <c r="V286" s="7"/>
      <c r="W286" s="7"/>
      <c r="X286" s="7"/>
      <c r="Y286" s="7"/>
      <c r="Z286" s="7"/>
      <c r="AA286" s="7"/>
      <c r="AB286" s="7"/>
      <c r="AC286" s="25">
        <f ca="1">TODAY()-4</f>
        <v>41118</v>
      </c>
      <c r="AD286" s="25">
        <f t="shared" ref="AD286:AE286" ca="1" si="748">TODAY()-4</f>
        <v>41118</v>
      </c>
      <c r="AE286" s="25">
        <f t="shared" ca="1" si="748"/>
        <v>41118</v>
      </c>
      <c r="AF286" s="25">
        <v>41102</v>
      </c>
      <c r="AG286" s="59" t="str">
        <f t="shared" ca="1" si="716"/>
        <v>3RA SEM</v>
      </c>
      <c r="AH286" s="8" t="s">
        <v>142</v>
      </c>
      <c r="AI286" s="8"/>
      <c r="AJ286" s="8"/>
      <c r="AK286" s="8"/>
      <c r="AL286" s="8"/>
      <c r="AM286" s="8"/>
      <c r="AN286" s="8"/>
      <c r="AO286" s="8"/>
      <c r="AP286" s="8"/>
      <c r="AQ286" s="8"/>
      <c r="AR286" s="59" t="str">
        <f t="shared" si="724"/>
        <v>SEM 28</v>
      </c>
      <c r="AS286" s="59" t="str">
        <f t="shared" si="725"/>
        <v>JUL</v>
      </c>
      <c r="AT286" s="59">
        <v>24000</v>
      </c>
      <c r="AU286" s="59" t="str">
        <f t="shared" si="704"/>
        <v>ENTRE 18 Y 25 MIL</v>
      </c>
      <c r="AV286" s="66" t="s">
        <v>72</v>
      </c>
      <c r="AW286" s="66" t="s">
        <v>77</v>
      </c>
      <c r="AX286" s="66" t="s">
        <v>85</v>
      </c>
      <c r="AY286" s="66" t="s">
        <v>174</v>
      </c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59"/>
      <c r="BL286" s="59"/>
      <c r="BM286" s="59"/>
      <c r="BN286" s="164"/>
      <c r="BO286" s="165"/>
      <c r="BP286" s="165"/>
      <c r="BQ286" s="165"/>
      <c r="BR286" s="59"/>
      <c r="BS286" s="59"/>
      <c r="BT286" s="59"/>
      <c r="BU286" s="59"/>
      <c r="BV286" s="59"/>
      <c r="BW286" s="59"/>
      <c r="BX286" s="59"/>
      <c r="BY286" s="59"/>
      <c r="BZ286" s="59" t="str">
        <f t="shared" si="705"/>
        <v>NA</v>
      </c>
      <c r="CA286" s="59" t="str">
        <f t="shared" si="706"/>
        <v/>
      </c>
      <c r="CB286" s="59" t="str">
        <f t="shared" si="707"/>
        <v>NA</v>
      </c>
      <c r="CC286" s="59" t="str">
        <f t="shared" si="708"/>
        <v/>
      </c>
      <c r="CD286" s="59" t="str">
        <f t="shared" si="709"/>
        <v>NA</v>
      </c>
      <c r="CE286" s="59" t="str">
        <f t="shared" si="710"/>
        <v/>
      </c>
      <c r="CF286" s="59"/>
      <c r="CG286" s="59"/>
      <c r="CH286" s="59"/>
      <c r="CI286" s="59" t="str">
        <f t="shared" ca="1" si="711"/>
        <v>HASTA 5 DIAS</v>
      </c>
      <c r="CJ286" s="59" t="str">
        <f t="shared" ca="1" si="712"/>
        <v>HASTA 5 DIAS</v>
      </c>
      <c r="CK286" s="59" t="str">
        <f t="shared" ca="1" si="713"/>
        <v>HASTA 5 DIAS</v>
      </c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>
        <f t="shared" si="717"/>
        <v>0</v>
      </c>
      <c r="DH286" s="8">
        <f t="shared" si="718"/>
        <v>0</v>
      </c>
      <c r="DI286" s="8">
        <f t="shared" si="719"/>
        <v>0</v>
      </c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56">
        <f t="shared" si="714"/>
        <v>0</v>
      </c>
    </row>
    <row r="287" spans="1:154" x14ac:dyDescent="0.25">
      <c r="A287" s="2"/>
      <c r="B287" s="2"/>
      <c r="C287" s="2"/>
      <c r="D287" s="2"/>
      <c r="E287" s="2"/>
      <c r="F287" s="2"/>
      <c r="G287" s="11"/>
      <c r="H287" s="4"/>
      <c r="I287" s="4"/>
      <c r="J287" s="9"/>
      <c r="K287" s="9"/>
      <c r="L287" s="10"/>
      <c r="M287" s="24"/>
      <c r="N287" s="7"/>
      <c r="O287" s="8"/>
      <c r="P287" s="25"/>
      <c r="Q287" s="8"/>
      <c r="R287" s="26"/>
      <c r="S287" s="8"/>
      <c r="T287" s="8"/>
      <c r="U287" s="8"/>
      <c r="V287" s="7"/>
      <c r="W287" s="7"/>
      <c r="X287" s="7"/>
      <c r="Y287" s="7"/>
      <c r="Z287" s="7"/>
      <c r="AA287" s="7"/>
      <c r="AB287" s="7"/>
      <c r="AC287" s="25">
        <f ca="1">TODAY()-9</f>
        <v>41113</v>
      </c>
      <c r="AD287" s="25">
        <f t="shared" ref="AD287:AE287" ca="1" si="749">TODAY()-9</f>
        <v>41113</v>
      </c>
      <c r="AE287" s="25">
        <f t="shared" ca="1" si="749"/>
        <v>41113</v>
      </c>
      <c r="AF287" s="25">
        <v>41102</v>
      </c>
      <c r="AG287" s="59" t="str">
        <f t="shared" ca="1" si="716"/>
        <v>3RA SEM</v>
      </c>
      <c r="AH287" s="8" t="s">
        <v>143</v>
      </c>
      <c r="AI287" s="8"/>
      <c r="AJ287" s="8"/>
      <c r="AK287" s="8"/>
      <c r="AL287" s="8"/>
      <c r="AM287" s="8"/>
      <c r="AN287" s="8"/>
      <c r="AO287" s="8"/>
      <c r="AP287" s="8"/>
      <c r="AQ287" s="8"/>
      <c r="AR287" s="59" t="str">
        <f t="shared" si="724"/>
        <v>SEM 28</v>
      </c>
      <c r="AS287" s="59" t="str">
        <f t="shared" si="725"/>
        <v>JUL</v>
      </c>
      <c r="AT287" s="59">
        <v>80000</v>
      </c>
      <c r="AU287" s="59" t="str">
        <f t="shared" si="704"/>
        <v>MAYOR A 45 MILES</v>
      </c>
      <c r="AV287" s="66" t="s">
        <v>70</v>
      </c>
      <c r="AW287" s="66" t="s">
        <v>77</v>
      </c>
      <c r="AX287" s="66" t="s">
        <v>84</v>
      </c>
      <c r="AY287" s="66" t="s">
        <v>174</v>
      </c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59"/>
      <c r="BL287" s="59"/>
      <c r="BM287" s="59"/>
      <c r="BN287" s="164"/>
      <c r="BO287" s="165"/>
      <c r="BP287" s="165"/>
      <c r="BQ287" s="165"/>
      <c r="BR287" s="59"/>
      <c r="BS287" s="59"/>
      <c r="BT287" s="59"/>
      <c r="BU287" s="59"/>
      <c r="BV287" s="59"/>
      <c r="BW287" s="59"/>
      <c r="BX287" s="59"/>
      <c r="BY287" s="59"/>
      <c r="BZ287" s="59" t="str">
        <f t="shared" si="705"/>
        <v>NA</v>
      </c>
      <c r="CA287" s="59" t="str">
        <f t="shared" si="706"/>
        <v/>
      </c>
      <c r="CB287" s="59" t="str">
        <f t="shared" si="707"/>
        <v>NA</v>
      </c>
      <c r="CC287" s="59" t="str">
        <f t="shared" si="708"/>
        <v/>
      </c>
      <c r="CD287" s="59" t="str">
        <f t="shared" si="709"/>
        <v>NA</v>
      </c>
      <c r="CE287" s="59" t="str">
        <f t="shared" si="710"/>
        <v/>
      </c>
      <c r="CF287" s="59"/>
      <c r="CG287" s="59"/>
      <c r="CH287" s="59"/>
      <c r="CI287" s="59" t="str">
        <f t="shared" ca="1" si="711"/>
        <v>DE 6 A 10 DIAS</v>
      </c>
      <c r="CJ287" s="59" t="str">
        <f t="shared" ca="1" si="712"/>
        <v>DE 6 A 10 DIAS</v>
      </c>
      <c r="CK287" s="59" t="str">
        <f t="shared" ca="1" si="713"/>
        <v>DE 6 A 10 DIAS</v>
      </c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>
        <f t="shared" si="717"/>
        <v>0</v>
      </c>
      <c r="DH287" s="8">
        <f t="shared" si="718"/>
        <v>0</v>
      </c>
      <c r="DI287" s="8">
        <f t="shared" si="719"/>
        <v>0</v>
      </c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56">
        <f t="shared" si="714"/>
        <v>0</v>
      </c>
    </row>
    <row r="288" spans="1:154" x14ac:dyDescent="0.25">
      <c r="A288" s="2"/>
      <c r="B288" s="2"/>
      <c r="C288" s="2"/>
      <c r="D288" s="2"/>
      <c r="E288" s="2"/>
      <c r="F288" s="2"/>
      <c r="G288" s="11"/>
      <c r="H288" s="4"/>
      <c r="I288" s="4"/>
      <c r="J288" s="9"/>
      <c r="K288" s="9"/>
      <c r="L288" s="10"/>
      <c r="M288" s="24"/>
      <c r="N288" s="7"/>
      <c r="O288" s="8"/>
      <c r="P288" s="25"/>
      <c r="Q288" s="8"/>
      <c r="R288" s="26"/>
      <c r="S288" s="8"/>
      <c r="T288" s="8"/>
      <c r="U288" s="8"/>
      <c r="V288" s="7"/>
      <c r="W288" s="7"/>
      <c r="X288" s="7"/>
      <c r="Y288" s="7"/>
      <c r="Z288" s="7"/>
      <c r="AA288" s="7"/>
      <c r="AB288" s="7"/>
      <c r="AC288" s="25">
        <f ca="1">TODAY()-14</f>
        <v>41108</v>
      </c>
      <c r="AD288" s="25">
        <f t="shared" ref="AD288:AE288" ca="1" si="750">TODAY()-14</f>
        <v>41108</v>
      </c>
      <c r="AE288" s="25">
        <f t="shared" ca="1" si="750"/>
        <v>41108</v>
      </c>
      <c r="AF288" s="25">
        <v>41102</v>
      </c>
      <c r="AG288" s="59" t="str">
        <f t="shared" ca="1" si="716"/>
        <v>3RA SEM</v>
      </c>
      <c r="AH288" s="8" t="s">
        <v>144</v>
      </c>
      <c r="AI288" s="8"/>
      <c r="AJ288" s="8"/>
      <c r="AK288" s="8"/>
      <c r="AL288" s="8"/>
      <c r="AM288" s="8"/>
      <c r="AN288" s="8"/>
      <c r="AO288" s="8"/>
      <c r="AP288" s="8"/>
      <c r="AQ288" s="8"/>
      <c r="AR288" s="59" t="str">
        <f t="shared" si="724"/>
        <v>SEM 28</v>
      </c>
      <c r="AS288" s="59" t="str">
        <f t="shared" si="725"/>
        <v>JUL</v>
      </c>
      <c r="AT288" s="59">
        <v>24000</v>
      </c>
      <c r="AU288" s="59" t="str">
        <f t="shared" si="704"/>
        <v>ENTRE 18 Y 25 MIL</v>
      </c>
      <c r="AV288" s="66" t="s">
        <v>70</v>
      </c>
      <c r="AW288" s="66" t="s">
        <v>77</v>
      </c>
      <c r="AX288" s="66" t="s">
        <v>84</v>
      </c>
      <c r="AY288" s="66" t="s">
        <v>174</v>
      </c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59"/>
      <c r="BL288" s="59"/>
      <c r="BM288" s="59"/>
      <c r="BN288" s="164"/>
      <c r="BO288" s="165"/>
      <c r="BP288" s="165"/>
      <c r="BQ288" s="165"/>
      <c r="BR288" s="59"/>
      <c r="BS288" s="59"/>
      <c r="BT288" s="59"/>
      <c r="BU288" s="59"/>
      <c r="BV288" s="59"/>
      <c r="BW288" s="59"/>
      <c r="BX288" s="59"/>
      <c r="BY288" s="59"/>
      <c r="BZ288" s="59" t="str">
        <f t="shared" si="705"/>
        <v>NA</v>
      </c>
      <c r="CA288" s="59" t="str">
        <f t="shared" si="706"/>
        <v/>
      </c>
      <c r="CB288" s="59" t="str">
        <f t="shared" si="707"/>
        <v>NA</v>
      </c>
      <c r="CC288" s="59" t="str">
        <f t="shared" si="708"/>
        <v/>
      </c>
      <c r="CD288" s="59" t="str">
        <f t="shared" si="709"/>
        <v>NA</v>
      </c>
      <c r="CE288" s="59" t="str">
        <f t="shared" si="710"/>
        <v/>
      </c>
      <c r="CF288" s="59"/>
      <c r="CG288" s="59"/>
      <c r="CH288" s="59"/>
      <c r="CI288" s="59" t="str">
        <f t="shared" ca="1" si="711"/>
        <v>DE 11 A 15 DIAS</v>
      </c>
      <c r="CJ288" s="59" t="str">
        <f t="shared" ca="1" si="712"/>
        <v>DE 11 A 15 DIAS</v>
      </c>
      <c r="CK288" s="59" t="str">
        <f t="shared" ca="1" si="713"/>
        <v>DE 11 A 15 DIAS</v>
      </c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>
        <f t="shared" si="717"/>
        <v>0</v>
      </c>
      <c r="DH288" s="8">
        <f t="shared" si="718"/>
        <v>0</v>
      </c>
      <c r="DI288" s="8">
        <f t="shared" si="719"/>
        <v>0</v>
      </c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56">
        <f t="shared" si="714"/>
        <v>0</v>
      </c>
    </row>
    <row r="289" spans="1:154" x14ac:dyDescent="0.25">
      <c r="A289" s="2"/>
      <c r="B289" s="2"/>
      <c r="C289" s="2"/>
      <c r="D289" s="2"/>
      <c r="E289" s="2"/>
      <c r="F289" s="2"/>
      <c r="G289" s="11"/>
      <c r="H289" s="4"/>
      <c r="I289" s="4"/>
      <c r="J289" s="9"/>
      <c r="K289" s="9"/>
      <c r="L289" s="10"/>
      <c r="M289" s="24"/>
      <c r="N289" s="7"/>
      <c r="O289" s="8"/>
      <c r="P289" s="25"/>
      <c r="Q289" s="8"/>
      <c r="R289" s="26"/>
      <c r="S289" s="8"/>
      <c r="T289" s="8"/>
      <c r="U289" s="8"/>
      <c r="V289" s="7"/>
      <c r="W289" s="7"/>
      <c r="X289" s="7"/>
      <c r="Y289" s="7"/>
      <c r="Z289" s="7"/>
      <c r="AA289" s="7"/>
      <c r="AB289" s="7"/>
      <c r="AC289" s="25">
        <f ca="1">TODAY()-19</f>
        <v>41103</v>
      </c>
      <c r="AD289" s="25">
        <f t="shared" ref="AD289:AE289" ca="1" si="751">TODAY()-19</f>
        <v>41103</v>
      </c>
      <c r="AE289" s="25">
        <f t="shared" ca="1" si="751"/>
        <v>41103</v>
      </c>
      <c r="AF289" s="25">
        <v>41101</v>
      </c>
      <c r="AG289" s="59" t="str">
        <f t="shared" ca="1" si="716"/>
        <v>3RA SEM</v>
      </c>
      <c r="AH289" s="8" t="s">
        <v>151</v>
      </c>
      <c r="AI289" s="8"/>
      <c r="AJ289" s="8"/>
      <c r="AK289" s="8"/>
      <c r="AL289" s="8"/>
      <c r="AM289" s="8"/>
      <c r="AN289" s="8"/>
      <c r="AO289" s="8"/>
      <c r="AP289" s="8"/>
      <c r="AQ289" s="8"/>
      <c r="AR289" s="59" t="str">
        <f t="shared" si="724"/>
        <v>SEM 28</v>
      </c>
      <c r="AS289" s="59" t="str">
        <f t="shared" si="725"/>
        <v>JUL</v>
      </c>
      <c r="AT289" s="59">
        <v>12000</v>
      </c>
      <c r="AU289" s="59" t="str">
        <f t="shared" si="704"/>
        <v>HASTA 12 MIL</v>
      </c>
      <c r="AV289" s="66" t="s">
        <v>70</v>
      </c>
      <c r="AW289" s="66" t="s">
        <v>77</v>
      </c>
      <c r="AX289" s="66" t="s">
        <v>83</v>
      </c>
      <c r="AY289" s="66" t="s">
        <v>171</v>
      </c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59"/>
      <c r="BL289" s="59"/>
      <c r="BM289" s="59"/>
      <c r="BN289" s="164"/>
      <c r="BO289" s="165"/>
      <c r="BP289" s="165"/>
      <c r="BQ289" s="165"/>
      <c r="BR289" s="59"/>
      <c r="BS289" s="59"/>
      <c r="BT289" s="59"/>
      <c r="BU289" s="59"/>
      <c r="BV289" s="59"/>
      <c r="BW289" s="59"/>
      <c r="BX289" s="59"/>
      <c r="BY289" s="59"/>
      <c r="BZ289" s="59" t="str">
        <f t="shared" si="705"/>
        <v>NA</v>
      </c>
      <c r="CA289" s="59" t="str">
        <f t="shared" si="706"/>
        <v/>
      </c>
      <c r="CB289" s="59" t="str">
        <f t="shared" si="707"/>
        <v>NA</v>
      </c>
      <c r="CC289" s="59" t="str">
        <f t="shared" si="708"/>
        <v/>
      </c>
      <c r="CD289" s="59" t="str">
        <f t="shared" si="709"/>
        <v>NA</v>
      </c>
      <c r="CE289" s="59" t="str">
        <f t="shared" si="710"/>
        <v/>
      </c>
      <c r="CF289" s="59"/>
      <c r="CG289" s="59"/>
      <c r="CH289" s="59"/>
      <c r="CI289" s="59" t="str">
        <f t="shared" ca="1" si="711"/>
        <v>DE 16 A 20 DIAS</v>
      </c>
      <c r="CJ289" s="59" t="str">
        <f t="shared" ca="1" si="712"/>
        <v>DE 16 A 20 DIAS</v>
      </c>
      <c r="CK289" s="59" t="str">
        <f t="shared" ca="1" si="713"/>
        <v>DE 16 A 20 DIAS</v>
      </c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>
        <f t="shared" si="717"/>
        <v>0</v>
      </c>
      <c r="DH289" s="8">
        <f t="shared" si="718"/>
        <v>0</v>
      </c>
      <c r="DI289" s="8">
        <f t="shared" si="719"/>
        <v>0</v>
      </c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56">
        <f t="shared" si="714"/>
        <v>0</v>
      </c>
    </row>
    <row r="290" spans="1:154" x14ac:dyDescent="0.25">
      <c r="A290" s="2"/>
      <c r="B290" s="2"/>
      <c r="C290" s="2"/>
      <c r="D290" s="2"/>
      <c r="E290" s="2"/>
      <c r="F290" s="2"/>
      <c r="G290" s="11"/>
      <c r="H290" s="4"/>
      <c r="I290" s="4"/>
      <c r="J290" s="9"/>
      <c r="K290" s="9"/>
      <c r="L290" s="10"/>
      <c r="M290" s="24"/>
      <c r="N290" s="7"/>
      <c r="O290" s="8"/>
      <c r="P290" s="25"/>
      <c r="Q290" s="8"/>
      <c r="R290" s="26"/>
      <c r="S290" s="8"/>
      <c r="T290" s="8"/>
      <c r="U290" s="8"/>
      <c r="V290" s="7"/>
      <c r="W290" s="7"/>
      <c r="X290" s="7"/>
      <c r="Y290" s="7"/>
      <c r="Z290" s="7"/>
      <c r="AA290" s="7"/>
      <c r="AB290" s="7"/>
      <c r="AC290" s="25">
        <f ca="1">TODAY()-25</f>
        <v>41097</v>
      </c>
      <c r="AD290" s="25">
        <f t="shared" ref="AD290:AE290" ca="1" si="752">TODAY()-25</f>
        <v>41097</v>
      </c>
      <c r="AE290" s="25">
        <f t="shared" ca="1" si="752"/>
        <v>41097</v>
      </c>
      <c r="AF290" s="25">
        <v>41067</v>
      </c>
      <c r="AG290" s="59" t="str">
        <f t="shared" ca="1" si="716"/>
        <v>8VA SEM</v>
      </c>
      <c r="AH290" s="8" t="s">
        <v>152</v>
      </c>
      <c r="AI290" s="8"/>
      <c r="AJ290" s="8"/>
      <c r="AK290" s="8"/>
      <c r="AL290" s="8"/>
      <c r="AM290" s="8"/>
      <c r="AN290" s="8"/>
      <c r="AO290" s="8"/>
      <c r="AP290" s="8"/>
      <c r="AQ290" s="8"/>
      <c r="AR290" s="59" t="str">
        <f t="shared" si="724"/>
        <v>SEM 23</v>
      </c>
      <c r="AS290" s="59" t="str">
        <f t="shared" si="725"/>
        <v>JUN</v>
      </c>
      <c r="AT290" s="59">
        <v>12000</v>
      </c>
      <c r="AU290" s="59" t="str">
        <f t="shared" si="704"/>
        <v>HASTA 12 MIL</v>
      </c>
      <c r="AV290" s="66" t="s">
        <v>70</v>
      </c>
      <c r="AW290" s="66" t="s">
        <v>77</v>
      </c>
      <c r="AX290" s="66" t="s">
        <v>82</v>
      </c>
      <c r="AY290" s="66" t="s">
        <v>171</v>
      </c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59"/>
      <c r="BL290" s="59"/>
      <c r="BM290" s="59"/>
      <c r="BN290" s="164"/>
      <c r="BO290" s="165"/>
      <c r="BP290" s="165"/>
      <c r="BQ290" s="165"/>
      <c r="BR290" s="59"/>
      <c r="BS290" s="59"/>
      <c r="BT290" s="59"/>
      <c r="BU290" s="59"/>
      <c r="BV290" s="59"/>
      <c r="BW290" s="59"/>
      <c r="BX290" s="59"/>
      <c r="BY290" s="59"/>
      <c r="BZ290" s="59" t="str">
        <f t="shared" si="705"/>
        <v>NA</v>
      </c>
      <c r="CA290" s="59" t="str">
        <f t="shared" si="706"/>
        <v/>
      </c>
      <c r="CB290" s="59" t="str">
        <f t="shared" si="707"/>
        <v>NA</v>
      </c>
      <c r="CC290" s="59" t="str">
        <f t="shared" si="708"/>
        <v/>
      </c>
      <c r="CD290" s="59" t="str">
        <f t="shared" si="709"/>
        <v>NA</v>
      </c>
      <c r="CE290" s="59" t="str">
        <f t="shared" si="710"/>
        <v/>
      </c>
      <c r="CF290" s="59"/>
      <c r="CG290" s="59"/>
      <c r="CH290" s="59"/>
      <c r="CI290" s="59" t="str">
        <f t="shared" ca="1" si="711"/>
        <v>DE 21 A 25 DIAS</v>
      </c>
      <c r="CJ290" s="59" t="str">
        <f t="shared" ca="1" si="712"/>
        <v>DE 21 A 25 DIAS</v>
      </c>
      <c r="CK290" s="59" t="str">
        <f t="shared" ca="1" si="713"/>
        <v>DE 21 A 25 DIAS</v>
      </c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>
        <f t="shared" si="717"/>
        <v>0</v>
      </c>
      <c r="DH290" s="8">
        <f t="shared" si="718"/>
        <v>0</v>
      </c>
      <c r="DI290" s="8">
        <f t="shared" si="719"/>
        <v>0</v>
      </c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56">
        <f t="shared" si="714"/>
        <v>0</v>
      </c>
    </row>
    <row r="291" spans="1:154" x14ac:dyDescent="0.25">
      <c r="A291" s="2"/>
      <c r="B291" s="2"/>
      <c r="C291" s="2"/>
      <c r="D291" s="2"/>
      <c r="E291" s="2"/>
      <c r="F291" s="2"/>
      <c r="G291" s="11"/>
      <c r="H291" s="4"/>
      <c r="I291" s="4"/>
      <c r="J291" s="9"/>
      <c r="K291" s="9"/>
      <c r="L291" s="10"/>
      <c r="M291" s="24"/>
      <c r="N291" s="7"/>
      <c r="O291" s="8"/>
      <c r="P291" s="25"/>
      <c r="Q291" s="8"/>
      <c r="R291" s="26"/>
      <c r="S291" s="8"/>
      <c r="T291" s="8"/>
      <c r="U291" s="8"/>
      <c r="V291" s="7"/>
      <c r="W291" s="7"/>
      <c r="X291" s="7"/>
      <c r="Y291" s="7"/>
      <c r="Z291" s="7"/>
      <c r="AA291" s="7"/>
      <c r="AB291" s="7"/>
      <c r="AC291" s="25">
        <f ca="1">TODAY()-29</f>
        <v>41093</v>
      </c>
      <c r="AD291" s="25">
        <f t="shared" ref="AD291:AE291" ca="1" si="753">TODAY()-29</f>
        <v>41093</v>
      </c>
      <c r="AE291" s="25">
        <f t="shared" ca="1" si="753"/>
        <v>41093</v>
      </c>
      <c r="AF291" s="25">
        <v>41067</v>
      </c>
      <c r="AG291" s="59" t="str">
        <f t="shared" ca="1" si="716"/>
        <v>8VA SEM</v>
      </c>
      <c r="AH291" s="8" t="s">
        <v>153</v>
      </c>
      <c r="AI291" s="8"/>
      <c r="AJ291" s="8"/>
      <c r="AK291" s="8"/>
      <c r="AL291" s="8"/>
      <c r="AM291" s="8"/>
      <c r="AN291" s="8"/>
      <c r="AO291" s="8"/>
      <c r="AP291" s="8"/>
      <c r="AQ291" s="8"/>
      <c r="AR291" s="59" t="str">
        <f t="shared" si="724"/>
        <v>SEM 23</v>
      </c>
      <c r="AS291" s="59" t="str">
        <f t="shared" si="725"/>
        <v>JUN</v>
      </c>
      <c r="AT291" s="59">
        <v>12000</v>
      </c>
      <c r="AU291" s="59" t="str">
        <f t="shared" si="704"/>
        <v>HASTA 12 MIL</v>
      </c>
      <c r="AV291" s="66" t="s">
        <v>71</v>
      </c>
      <c r="AW291" s="66" t="s">
        <v>77</v>
      </c>
      <c r="AX291" s="66" t="s">
        <v>82</v>
      </c>
      <c r="AY291" s="66" t="s">
        <v>172</v>
      </c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59"/>
      <c r="BL291" s="59"/>
      <c r="BM291" s="59"/>
      <c r="BN291" s="164"/>
      <c r="BO291" s="165"/>
      <c r="BP291" s="165"/>
      <c r="BQ291" s="165"/>
      <c r="BR291" s="59"/>
      <c r="BS291" s="59"/>
      <c r="BT291" s="59"/>
      <c r="BU291" s="59"/>
      <c r="BV291" s="59"/>
      <c r="BW291" s="59"/>
      <c r="BX291" s="59"/>
      <c r="BY291" s="59"/>
      <c r="BZ291" s="59" t="str">
        <f t="shared" si="705"/>
        <v>NA</v>
      </c>
      <c r="CA291" s="59" t="str">
        <f t="shared" si="706"/>
        <v/>
      </c>
      <c r="CB291" s="59" t="str">
        <f t="shared" si="707"/>
        <v>NA</v>
      </c>
      <c r="CC291" s="59" t="str">
        <f t="shared" si="708"/>
        <v/>
      </c>
      <c r="CD291" s="59" t="str">
        <f t="shared" si="709"/>
        <v>NA</v>
      </c>
      <c r="CE291" s="59" t="str">
        <f t="shared" si="710"/>
        <v/>
      </c>
      <c r="CF291" s="59"/>
      <c r="CG291" s="59"/>
      <c r="CH291" s="59"/>
      <c r="CI291" s="59" t="str">
        <f t="shared" ca="1" si="711"/>
        <v>DE 26 A 29 DIAS</v>
      </c>
      <c r="CJ291" s="59" t="str">
        <f t="shared" ca="1" si="712"/>
        <v>DE 26 A 29 DIAS</v>
      </c>
      <c r="CK291" s="59" t="str">
        <f t="shared" ca="1" si="713"/>
        <v>DE 26 A 29 DIAS</v>
      </c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>
        <f t="shared" si="717"/>
        <v>0</v>
      </c>
      <c r="DH291" s="8">
        <f t="shared" si="718"/>
        <v>0</v>
      </c>
      <c r="DI291" s="8">
        <f t="shared" si="719"/>
        <v>0</v>
      </c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56">
        <f t="shared" si="714"/>
        <v>0</v>
      </c>
    </row>
    <row r="292" spans="1:154" x14ac:dyDescent="0.25">
      <c r="A292" s="2"/>
      <c r="B292" s="2"/>
      <c r="C292" s="2"/>
      <c r="D292" s="2"/>
      <c r="E292" s="2"/>
      <c r="F292" s="2"/>
      <c r="G292" s="11"/>
      <c r="H292" s="4"/>
      <c r="I292" s="4"/>
      <c r="J292" s="9"/>
      <c r="K292" s="9"/>
      <c r="L292" s="10"/>
      <c r="M292" s="24"/>
      <c r="N292" s="7"/>
      <c r="O292" s="8"/>
      <c r="P292" s="25"/>
      <c r="Q292" s="8"/>
      <c r="R292" s="26"/>
      <c r="S292" s="8"/>
      <c r="T292" s="8"/>
      <c r="U292" s="8"/>
      <c r="V292" s="7"/>
      <c r="W292" s="7"/>
      <c r="X292" s="7"/>
      <c r="Y292" s="7"/>
      <c r="Z292" s="7"/>
      <c r="AA292" s="7"/>
      <c r="AB292" s="7"/>
      <c r="AC292" s="25">
        <f ca="1">TODAY()-30</f>
        <v>41092</v>
      </c>
      <c r="AD292" s="25">
        <f t="shared" ref="AD292:AE292" ca="1" si="754">TODAY()-30</f>
        <v>41092</v>
      </c>
      <c r="AE292" s="25">
        <f t="shared" ca="1" si="754"/>
        <v>41092</v>
      </c>
      <c r="AF292" s="25">
        <v>41067</v>
      </c>
      <c r="AG292" s="59" t="str">
        <f t="shared" ca="1" si="716"/>
        <v>8VA SEM</v>
      </c>
      <c r="AH292" s="8" t="s">
        <v>154</v>
      </c>
      <c r="AI292" s="8"/>
      <c r="AJ292" s="8"/>
      <c r="AK292" s="8"/>
      <c r="AL292" s="8"/>
      <c r="AM292" s="8"/>
      <c r="AN292" s="8"/>
      <c r="AO292" s="8"/>
      <c r="AP292" s="8"/>
      <c r="AQ292" s="8"/>
      <c r="AR292" s="59" t="str">
        <f t="shared" si="724"/>
        <v>SEM 23</v>
      </c>
      <c r="AS292" s="59" t="str">
        <f t="shared" si="725"/>
        <v>JUN</v>
      </c>
      <c r="AT292" s="59">
        <v>12000</v>
      </c>
      <c r="AU292" s="59" t="str">
        <f t="shared" si="704"/>
        <v>HASTA 12 MIL</v>
      </c>
      <c r="AV292" s="66" t="s">
        <v>71</v>
      </c>
      <c r="AW292" s="66" t="s">
        <v>77</v>
      </c>
      <c r="AX292" s="66" t="s">
        <v>79</v>
      </c>
      <c r="AY292" s="66" t="s">
        <v>172</v>
      </c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59"/>
      <c r="BL292" s="59"/>
      <c r="BM292" s="59"/>
      <c r="BN292" s="164"/>
      <c r="BO292" s="165"/>
      <c r="BP292" s="165"/>
      <c r="BQ292" s="165"/>
      <c r="BR292" s="59"/>
      <c r="BS292" s="59"/>
      <c r="BT292" s="59"/>
      <c r="BU292" s="59"/>
      <c r="BV292" s="59"/>
      <c r="BW292" s="59"/>
      <c r="BX292" s="59"/>
      <c r="BY292" s="59"/>
      <c r="BZ292" s="59" t="str">
        <f t="shared" si="705"/>
        <v>NA</v>
      </c>
      <c r="CA292" s="59" t="str">
        <f t="shared" si="706"/>
        <v/>
      </c>
      <c r="CB292" s="59" t="str">
        <f t="shared" si="707"/>
        <v>NA</v>
      </c>
      <c r="CC292" s="59" t="str">
        <f t="shared" si="708"/>
        <v/>
      </c>
      <c r="CD292" s="59" t="str">
        <f t="shared" si="709"/>
        <v>NA</v>
      </c>
      <c r="CE292" s="59" t="str">
        <f t="shared" si="710"/>
        <v/>
      </c>
      <c r="CF292" s="59"/>
      <c r="CG292" s="59"/>
      <c r="CH292" s="59"/>
      <c r="CI292" s="59" t="str">
        <f t="shared" ca="1" si="711"/>
        <v>30 DIAS</v>
      </c>
      <c r="CJ292" s="59" t="str">
        <f t="shared" ca="1" si="712"/>
        <v>30 DIAS</v>
      </c>
      <c r="CK292" s="59" t="str">
        <f t="shared" ca="1" si="713"/>
        <v>30 DIAS</v>
      </c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>
        <f t="shared" si="717"/>
        <v>0</v>
      </c>
      <c r="DH292" s="8">
        <f t="shared" si="718"/>
        <v>0</v>
      </c>
      <c r="DI292" s="8">
        <f t="shared" si="719"/>
        <v>0</v>
      </c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56">
        <f t="shared" si="714"/>
        <v>0</v>
      </c>
    </row>
    <row r="293" spans="1:154" x14ac:dyDescent="0.25">
      <c r="A293" s="2"/>
      <c r="B293" s="2"/>
      <c r="C293" s="2"/>
      <c r="D293" s="2"/>
      <c r="E293" s="2"/>
      <c r="F293" s="2"/>
      <c r="G293" s="11"/>
      <c r="H293" s="4"/>
      <c r="I293" s="4"/>
      <c r="J293" s="9"/>
      <c r="K293" s="9"/>
      <c r="L293" s="10"/>
      <c r="M293" s="24"/>
      <c r="N293" s="7"/>
      <c r="O293" s="8"/>
      <c r="P293" s="25"/>
      <c r="Q293" s="8"/>
      <c r="R293" s="26"/>
      <c r="S293" s="8"/>
      <c r="T293" s="8"/>
      <c r="U293" s="8"/>
      <c r="V293" s="7"/>
      <c r="W293" s="7"/>
      <c r="X293" s="7"/>
      <c r="Y293" s="7"/>
      <c r="Z293" s="7"/>
      <c r="AA293" s="7"/>
      <c r="AB293" s="7"/>
      <c r="AC293" s="25">
        <f ca="1">TODAY()-34</f>
        <v>41088</v>
      </c>
      <c r="AD293" s="25">
        <f t="shared" ref="AD293:AE293" ca="1" si="755">TODAY()-34</f>
        <v>41088</v>
      </c>
      <c r="AE293" s="25">
        <f t="shared" ca="1" si="755"/>
        <v>41088</v>
      </c>
      <c r="AF293" s="25">
        <v>41091</v>
      </c>
      <c r="AG293" s="59" t="str">
        <f t="shared" ca="1" si="716"/>
        <v>5TA SEM</v>
      </c>
      <c r="AH293" s="8" t="s">
        <v>155</v>
      </c>
      <c r="AI293" s="8"/>
      <c r="AJ293" s="8"/>
      <c r="AK293" s="8"/>
      <c r="AL293" s="8"/>
      <c r="AM293" s="8"/>
      <c r="AN293" s="8"/>
      <c r="AO293" s="8"/>
      <c r="AP293" s="8"/>
      <c r="AQ293" s="8"/>
      <c r="AR293" s="59" t="str">
        <f t="shared" si="724"/>
        <v>SEM 27</v>
      </c>
      <c r="AS293" s="59" t="str">
        <f t="shared" si="725"/>
        <v>JUL</v>
      </c>
      <c r="AT293" s="59">
        <v>8500</v>
      </c>
      <c r="AU293" s="59" t="str">
        <f t="shared" si="704"/>
        <v>HASTA 12 MIL</v>
      </c>
      <c r="AV293" s="66" t="s">
        <v>147</v>
      </c>
      <c r="AW293" s="66" t="s">
        <v>76</v>
      </c>
      <c r="AX293" s="66" t="s">
        <v>79</v>
      </c>
      <c r="AY293" s="66" t="s">
        <v>174</v>
      </c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59"/>
      <c r="BL293" s="59"/>
      <c r="BM293" s="59"/>
      <c r="BN293" s="164"/>
      <c r="BO293" s="165"/>
      <c r="BP293" s="165"/>
      <c r="BQ293" s="165"/>
      <c r="BR293" s="59"/>
      <c r="BS293" s="59"/>
      <c r="BT293" s="59"/>
      <c r="BU293" s="59"/>
      <c r="BV293" s="59"/>
      <c r="BW293" s="59"/>
      <c r="BX293" s="59"/>
      <c r="BY293" s="59"/>
      <c r="BZ293" s="59" t="str">
        <f t="shared" si="705"/>
        <v>NA</v>
      </c>
      <c r="CA293" s="59" t="str">
        <f t="shared" si="706"/>
        <v/>
      </c>
      <c r="CB293" s="59" t="str">
        <f t="shared" si="707"/>
        <v>NA</v>
      </c>
      <c r="CC293" s="59" t="str">
        <f t="shared" si="708"/>
        <v/>
      </c>
      <c r="CD293" s="59" t="str">
        <f t="shared" si="709"/>
        <v>NA</v>
      </c>
      <c r="CE293" s="59" t="str">
        <f t="shared" si="710"/>
        <v/>
      </c>
      <c r="CF293" s="59"/>
      <c r="CG293" s="59"/>
      <c r="CH293" s="59"/>
      <c r="CI293" s="59" t="str">
        <f t="shared" ca="1" si="711"/>
        <v>DE 31 A 35 DIAS</v>
      </c>
      <c r="CJ293" s="59" t="str">
        <f t="shared" ca="1" si="712"/>
        <v>DE 31 A 35 DIAS</v>
      </c>
      <c r="CK293" s="59" t="str">
        <f t="shared" ca="1" si="713"/>
        <v>DE 31 A 35 DIAS</v>
      </c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>
        <f t="shared" si="717"/>
        <v>0</v>
      </c>
      <c r="DH293" s="8">
        <f t="shared" si="718"/>
        <v>0</v>
      </c>
      <c r="DI293" s="8">
        <f t="shared" si="719"/>
        <v>0</v>
      </c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56">
        <f t="shared" si="714"/>
        <v>0</v>
      </c>
    </row>
    <row r="294" spans="1:154" x14ac:dyDescent="0.25">
      <c r="A294" s="2"/>
      <c r="B294" s="2"/>
      <c r="C294" s="2"/>
      <c r="D294" s="2"/>
      <c r="E294" s="2"/>
      <c r="F294" s="2"/>
      <c r="G294" s="11"/>
      <c r="H294" s="4"/>
      <c r="I294" s="4"/>
      <c r="J294" s="9"/>
      <c r="K294" s="9"/>
      <c r="L294" s="10"/>
      <c r="M294" s="24"/>
      <c r="N294" s="7"/>
      <c r="O294" s="8"/>
      <c r="P294" s="25"/>
      <c r="Q294" s="8"/>
      <c r="R294" s="26"/>
      <c r="S294" s="8"/>
      <c r="T294" s="8"/>
      <c r="U294" s="8"/>
      <c r="V294" s="7"/>
      <c r="W294" s="7"/>
      <c r="X294" s="7"/>
      <c r="Y294" s="7"/>
      <c r="Z294" s="7"/>
      <c r="AA294" s="7"/>
      <c r="AB294" s="7"/>
      <c r="AC294" s="25">
        <f ca="1">TODAY()-39</f>
        <v>41083</v>
      </c>
      <c r="AD294" s="25">
        <f t="shared" ref="AD294:AE294" ca="1" si="756">TODAY()-39</f>
        <v>41083</v>
      </c>
      <c r="AE294" s="25">
        <f t="shared" ca="1" si="756"/>
        <v>41083</v>
      </c>
      <c r="AF294" s="25">
        <v>41092</v>
      </c>
      <c r="AG294" s="59" t="str">
        <f t="shared" ca="1" si="716"/>
        <v>5TA SEM</v>
      </c>
      <c r="AH294" s="8" t="s">
        <v>156</v>
      </c>
      <c r="AI294" s="8"/>
      <c r="AJ294" s="8"/>
      <c r="AK294" s="8"/>
      <c r="AL294" s="8"/>
      <c r="AM294" s="8"/>
      <c r="AN294" s="8"/>
      <c r="AO294" s="8"/>
      <c r="AP294" s="8"/>
      <c r="AQ294" s="8"/>
      <c r="AR294" s="59" t="str">
        <f t="shared" si="724"/>
        <v>SEM 27</v>
      </c>
      <c r="AS294" s="59" t="str">
        <f t="shared" si="725"/>
        <v>JUL</v>
      </c>
      <c r="AT294" s="59">
        <v>14500</v>
      </c>
      <c r="AU294" s="59" t="str">
        <f t="shared" si="704"/>
        <v>ENTRE 12 Y 18 MIL</v>
      </c>
      <c r="AV294" s="66" t="s">
        <v>147</v>
      </c>
      <c r="AW294" s="66" t="s">
        <v>76</v>
      </c>
      <c r="AX294" s="66" t="s">
        <v>79</v>
      </c>
      <c r="AY294" s="66" t="s">
        <v>175</v>
      </c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59"/>
      <c r="BL294" s="59"/>
      <c r="BM294" s="59"/>
      <c r="BN294" s="164"/>
      <c r="BO294" s="165"/>
      <c r="BP294" s="165"/>
      <c r="BQ294" s="165"/>
      <c r="BR294" s="59"/>
      <c r="BS294" s="59"/>
      <c r="BT294" s="59"/>
      <c r="BU294" s="59"/>
      <c r="BV294" s="59"/>
      <c r="BW294" s="59"/>
      <c r="BX294" s="59"/>
      <c r="BY294" s="59"/>
      <c r="BZ294" s="59" t="str">
        <f t="shared" si="705"/>
        <v>NA</v>
      </c>
      <c r="CA294" s="59" t="str">
        <f t="shared" si="706"/>
        <v/>
      </c>
      <c r="CB294" s="59" t="str">
        <f t="shared" si="707"/>
        <v>NA</v>
      </c>
      <c r="CC294" s="59" t="str">
        <f t="shared" si="708"/>
        <v/>
      </c>
      <c r="CD294" s="59" t="str">
        <f t="shared" si="709"/>
        <v>NA</v>
      </c>
      <c r="CE294" s="59" t="str">
        <f t="shared" si="710"/>
        <v/>
      </c>
      <c r="CF294" s="59"/>
      <c r="CG294" s="59"/>
      <c r="CH294" s="59"/>
      <c r="CI294" s="59" t="str">
        <f t="shared" ca="1" si="711"/>
        <v>DE 36 A 45 DIAS</v>
      </c>
      <c r="CJ294" s="59" t="str">
        <f t="shared" ca="1" si="712"/>
        <v>DE 36 A 45 DIAS</v>
      </c>
      <c r="CK294" s="59" t="str">
        <f t="shared" ca="1" si="713"/>
        <v>DE 36 A 45 DIAS</v>
      </c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>
        <f t="shared" si="717"/>
        <v>0</v>
      </c>
      <c r="DH294" s="8">
        <f t="shared" si="718"/>
        <v>0</v>
      </c>
      <c r="DI294" s="8">
        <f t="shared" si="719"/>
        <v>0</v>
      </c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56">
        <f t="shared" si="714"/>
        <v>0</v>
      </c>
    </row>
    <row r="295" spans="1:154" x14ac:dyDescent="0.25">
      <c r="A295" s="2"/>
      <c r="B295" s="2"/>
      <c r="C295" s="2"/>
      <c r="D295" s="2"/>
      <c r="E295" s="2"/>
      <c r="F295" s="2"/>
      <c r="G295" s="11"/>
      <c r="H295" s="4"/>
      <c r="I295" s="4"/>
      <c r="J295" s="9"/>
      <c r="K295" s="9"/>
      <c r="L295" s="10"/>
      <c r="M295" s="24"/>
      <c r="N295" s="7"/>
      <c r="O295" s="8"/>
      <c r="P295" s="25"/>
      <c r="Q295" s="8"/>
      <c r="R295" s="26"/>
      <c r="S295" s="8"/>
      <c r="T295" s="8"/>
      <c r="U295" s="8"/>
      <c r="V295" s="7"/>
      <c r="W295" s="7"/>
      <c r="X295" s="7"/>
      <c r="Y295" s="7"/>
      <c r="Z295" s="7"/>
      <c r="AA295" s="7"/>
      <c r="AB295" s="7"/>
      <c r="AC295" s="25">
        <f ca="1">TODAY()-45</f>
        <v>41077</v>
      </c>
      <c r="AD295" s="25">
        <f t="shared" ref="AD295:AE295" ca="1" si="757">TODAY()-45</f>
        <v>41077</v>
      </c>
      <c r="AE295" s="25">
        <f t="shared" ca="1" si="757"/>
        <v>41077</v>
      </c>
      <c r="AF295" s="25">
        <v>41095</v>
      </c>
      <c r="AG295" s="59" t="str">
        <f t="shared" ca="1" si="716"/>
        <v>4TA SEM</v>
      </c>
      <c r="AH295" s="8" t="s">
        <v>157</v>
      </c>
      <c r="AI295" s="8"/>
      <c r="AJ295" s="8"/>
      <c r="AK295" s="8"/>
      <c r="AL295" s="8"/>
      <c r="AM295" s="8"/>
      <c r="AN295" s="8"/>
      <c r="AO295" s="8"/>
      <c r="AP295" s="8"/>
      <c r="AQ295" s="8"/>
      <c r="AR295" s="59" t="str">
        <f t="shared" si="724"/>
        <v>SEM 27</v>
      </c>
      <c r="AS295" s="59" t="str">
        <f t="shared" si="725"/>
        <v>JUL</v>
      </c>
      <c r="AT295" s="59">
        <v>17000</v>
      </c>
      <c r="AU295" s="59" t="str">
        <f t="shared" si="704"/>
        <v>ENTRE 12 Y 18 MIL</v>
      </c>
      <c r="AV295" s="66" t="s">
        <v>148</v>
      </c>
      <c r="AW295" s="66" t="s">
        <v>76</v>
      </c>
      <c r="AX295" s="66" t="s">
        <v>79</v>
      </c>
      <c r="AY295" s="66" t="s">
        <v>173</v>
      </c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59"/>
      <c r="BL295" s="59"/>
      <c r="BM295" s="59"/>
      <c r="BN295" s="164"/>
      <c r="BO295" s="165"/>
      <c r="BP295" s="165"/>
      <c r="BQ295" s="165"/>
      <c r="BR295" s="59"/>
      <c r="BS295" s="59"/>
      <c r="BT295" s="59"/>
      <c r="BU295" s="59"/>
      <c r="BV295" s="59"/>
      <c r="BW295" s="59"/>
      <c r="BX295" s="59"/>
      <c r="BY295" s="59"/>
      <c r="BZ295" s="59" t="str">
        <f t="shared" si="705"/>
        <v>NA</v>
      </c>
      <c r="CA295" s="59" t="str">
        <f t="shared" si="706"/>
        <v/>
      </c>
      <c r="CB295" s="59" t="str">
        <f t="shared" si="707"/>
        <v>NA</v>
      </c>
      <c r="CC295" s="59" t="str">
        <f t="shared" si="708"/>
        <v/>
      </c>
      <c r="CD295" s="59" t="str">
        <f t="shared" si="709"/>
        <v>NA</v>
      </c>
      <c r="CE295" s="59" t="str">
        <f t="shared" si="710"/>
        <v/>
      </c>
      <c r="CF295" s="59"/>
      <c r="CG295" s="59"/>
      <c r="CH295" s="59"/>
      <c r="CI295" s="59" t="str">
        <f t="shared" ca="1" si="711"/>
        <v>DE 36 A 45 DIAS</v>
      </c>
      <c r="CJ295" s="59" t="str">
        <f t="shared" ca="1" si="712"/>
        <v>DE 36 A 45 DIAS</v>
      </c>
      <c r="CK295" s="59" t="str">
        <f t="shared" ca="1" si="713"/>
        <v>DE 36 A 45 DIAS</v>
      </c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>
        <f t="shared" si="717"/>
        <v>0</v>
      </c>
      <c r="DH295" s="8">
        <f t="shared" si="718"/>
        <v>0</v>
      </c>
      <c r="DI295" s="8">
        <f t="shared" si="719"/>
        <v>0</v>
      </c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56">
        <f t="shared" si="714"/>
        <v>0</v>
      </c>
    </row>
    <row r="296" spans="1:154" x14ac:dyDescent="0.25">
      <c r="A296" s="2"/>
      <c r="B296" s="2"/>
      <c r="C296" s="2"/>
      <c r="D296" s="2"/>
      <c r="E296" s="2"/>
      <c r="F296" s="2"/>
      <c r="G296" s="11"/>
      <c r="H296" s="4"/>
      <c r="I296" s="4"/>
      <c r="J296" s="9"/>
      <c r="K296" s="9"/>
      <c r="L296" s="10"/>
      <c r="M296" s="24"/>
      <c r="N296" s="7"/>
      <c r="O296" s="8"/>
      <c r="P296" s="25"/>
      <c r="Q296" s="8"/>
      <c r="R296" s="26"/>
      <c r="S296" s="8"/>
      <c r="T296" s="8"/>
      <c r="U296" s="8"/>
      <c r="V296" s="7"/>
      <c r="W296" s="7"/>
      <c r="X296" s="7"/>
      <c r="Y296" s="7"/>
      <c r="Z296" s="7"/>
      <c r="AA296" s="7"/>
      <c r="AB296" s="7"/>
      <c r="AC296" s="25">
        <f ca="1">TODAY()-50</f>
        <v>41072</v>
      </c>
      <c r="AD296" s="25">
        <f t="shared" ref="AD296:AE296" ca="1" si="758">TODAY()-50</f>
        <v>41072</v>
      </c>
      <c r="AE296" s="25">
        <f t="shared" ca="1" si="758"/>
        <v>41072</v>
      </c>
      <c r="AF296" s="25">
        <v>41095</v>
      </c>
      <c r="AG296" s="59" t="str">
        <f t="shared" ca="1" si="716"/>
        <v>4TA SEM</v>
      </c>
      <c r="AH296" s="8" t="s">
        <v>158</v>
      </c>
      <c r="AI296" s="8"/>
      <c r="AJ296" s="8"/>
      <c r="AK296" s="8"/>
      <c r="AL296" s="8"/>
      <c r="AM296" s="8"/>
      <c r="AN296" s="8"/>
      <c r="AO296" s="8"/>
      <c r="AP296" s="8"/>
      <c r="AQ296" s="8"/>
      <c r="AR296" s="59" t="str">
        <f t="shared" si="724"/>
        <v>SEM 27</v>
      </c>
      <c r="AS296" s="59" t="str">
        <f t="shared" si="725"/>
        <v>JUL</v>
      </c>
      <c r="AT296" s="59">
        <v>12000</v>
      </c>
      <c r="AU296" s="59" t="str">
        <f t="shared" si="704"/>
        <v>HASTA 12 MIL</v>
      </c>
      <c r="AV296" s="66" t="s">
        <v>148</v>
      </c>
      <c r="AW296" s="66" t="s">
        <v>150</v>
      </c>
      <c r="AX296" s="66" t="s">
        <v>79</v>
      </c>
      <c r="AY296" s="66" t="s">
        <v>175</v>
      </c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59"/>
      <c r="BL296" s="59"/>
      <c r="BM296" s="59"/>
      <c r="BN296" s="164"/>
      <c r="BO296" s="165"/>
      <c r="BP296" s="165"/>
      <c r="BQ296" s="165"/>
      <c r="BR296" s="59"/>
      <c r="BS296" s="59"/>
      <c r="BT296" s="59"/>
      <c r="BU296" s="59"/>
      <c r="BV296" s="59"/>
      <c r="BW296" s="59"/>
      <c r="BX296" s="59"/>
      <c r="BY296" s="59"/>
      <c r="BZ296" s="59" t="str">
        <f t="shared" si="705"/>
        <v>NA</v>
      </c>
      <c r="CA296" s="59" t="str">
        <f t="shared" si="706"/>
        <v/>
      </c>
      <c r="CB296" s="59" t="str">
        <f t="shared" si="707"/>
        <v>NA</v>
      </c>
      <c r="CC296" s="59" t="str">
        <f t="shared" si="708"/>
        <v/>
      </c>
      <c r="CD296" s="59" t="str">
        <f t="shared" si="709"/>
        <v>NA</v>
      </c>
      <c r="CE296" s="59" t="str">
        <f t="shared" si="710"/>
        <v/>
      </c>
      <c r="CF296" s="59"/>
      <c r="CG296" s="59"/>
      <c r="CH296" s="59"/>
      <c r="CI296" s="59" t="str">
        <f t="shared" ca="1" si="711"/>
        <v>MAYOR A 45 DIAS</v>
      </c>
      <c r="CJ296" s="59" t="str">
        <f t="shared" ca="1" si="712"/>
        <v>MAYOR A 45 DIAS</v>
      </c>
      <c r="CK296" s="59" t="str">
        <f t="shared" ca="1" si="713"/>
        <v>MAYOR A 45 DIAS</v>
      </c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>
        <f t="shared" si="717"/>
        <v>0</v>
      </c>
      <c r="DH296" s="8">
        <f t="shared" si="718"/>
        <v>0</v>
      </c>
      <c r="DI296" s="8">
        <f t="shared" si="719"/>
        <v>0</v>
      </c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56">
        <f t="shared" si="714"/>
        <v>0</v>
      </c>
    </row>
    <row r="297" spans="1:154" x14ac:dyDescent="0.25">
      <c r="A297" s="2"/>
      <c r="B297" s="2"/>
      <c r="C297" s="2"/>
      <c r="D297" s="2"/>
      <c r="E297" s="2"/>
      <c r="F297" s="2"/>
      <c r="G297" s="11"/>
      <c r="H297" s="4"/>
      <c r="I297" s="4"/>
      <c r="J297" s="9"/>
      <c r="K297" s="9"/>
      <c r="L297" s="10"/>
      <c r="M297" s="24"/>
      <c r="N297" s="7"/>
      <c r="O297" s="8"/>
      <c r="P297" s="25"/>
      <c r="Q297" s="8"/>
      <c r="R297" s="26"/>
      <c r="S297" s="8"/>
      <c r="T297" s="8"/>
      <c r="U297" s="8"/>
      <c r="V297" s="7"/>
      <c r="W297" s="7"/>
      <c r="X297" s="7"/>
      <c r="Y297" s="7"/>
      <c r="Z297" s="7"/>
      <c r="AA297" s="7"/>
      <c r="AB297" s="7"/>
      <c r="AC297" s="25">
        <f ca="1">TODAY()-4</f>
        <v>41118</v>
      </c>
      <c r="AD297" s="25">
        <f t="shared" ref="AD297:AE297" ca="1" si="759">TODAY()-4</f>
        <v>41118</v>
      </c>
      <c r="AE297" s="25">
        <f t="shared" ca="1" si="759"/>
        <v>41118</v>
      </c>
      <c r="AF297" s="25">
        <v>41095</v>
      </c>
      <c r="AG297" s="59" t="str">
        <f t="shared" ca="1" si="716"/>
        <v>4TA SEM</v>
      </c>
      <c r="AH297" s="8" t="s">
        <v>159</v>
      </c>
      <c r="AI297" s="8"/>
      <c r="AJ297" s="8"/>
      <c r="AK297" s="8"/>
      <c r="AL297" s="8"/>
      <c r="AM297" s="8"/>
      <c r="AN297" s="8"/>
      <c r="AO297" s="8"/>
      <c r="AP297" s="8"/>
      <c r="AQ297" s="8"/>
      <c r="AR297" s="59" t="str">
        <f t="shared" si="724"/>
        <v>SEM 27</v>
      </c>
      <c r="AS297" s="59" t="str">
        <f t="shared" si="725"/>
        <v>JUL</v>
      </c>
      <c r="AT297" s="59">
        <v>8500</v>
      </c>
      <c r="AU297" s="59" t="str">
        <f t="shared" si="704"/>
        <v>HASTA 12 MIL</v>
      </c>
      <c r="AV297" s="66" t="s">
        <v>71</v>
      </c>
      <c r="AW297" s="66" t="s">
        <v>150</v>
      </c>
      <c r="AX297" s="66" t="s">
        <v>82</v>
      </c>
      <c r="AY297" s="66" t="s">
        <v>174</v>
      </c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59"/>
      <c r="BL297" s="59"/>
      <c r="BM297" s="59"/>
      <c r="BN297" s="164"/>
      <c r="BO297" s="165"/>
      <c r="BP297" s="165"/>
      <c r="BQ297" s="165"/>
      <c r="BR297" s="59"/>
      <c r="BS297" s="59"/>
      <c r="BT297" s="59"/>
      <c r="BU297" s="59"/>
      <c r="BV297" s="59"/>
      <c r="BW297" s="59"/>
      <c r="BX297" s="59"/>
      <c r="BY297" s="59"/>
      <c r="BZ297" s="59" t="str">
        <f t="shared" si="705"/>
        <v>NA</v>
      </c>
      <c r="CA297" s="59" t="str">
        <f t="shared" si="706"/>
        <v/>
      </c>
      <c r="CB297" s="59" t="str">
        <f t="shared" si="707"/>
        <v>NA</v>
      </c>
      <c r="CC297" s="59" t="str">
        <f t="shared" si="708"/>
        <v/>
      </c>
      <c r="CD297" s="59" t="str">
        <f t="shared" si="709"/>
        <v>NA</v>
      </c>
      <c r="CE297" s="59" t="str">
        <f t="shared" si="710"/>
        <v/>
      </c>
      <c r="CF297" s="59"/>
      <c r="CG297" s="59"/>
      <c r="CH297" s="59"/>
      <c r="CI297" s="59" t="str">
        <f t="shared" ca="1" si="711"/>
        <v>HASTA 5 DIAS</v>
      </c>
      <c r="CJ297" s="59" t="str">
        <f t="shared" ca="1" si="712"/>
        <v>HASTA 5 DIAS</v>
      </c>
      <c r="CK297" s="59" t="str">
        <f t="shared" ca="1" si="713"/>
        <v>HASTA 5 DIAS</v>
      </c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>
        <f t="shared" si="717"/>
        <v>0</v>
      </c>
      <c r="DH297" s="8">
        <f t="shared" si="718"/>
        <v>0</v>
      </c>
      <c r="DI297" s="8">
        <f t="shared" si="719"/>
        <v>0</v>
      </c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56">
        <f t="shared" si="714"/>
        <v>0</v>
      </c>
    </row>
    <row r="304" spans="1:154" x14ac:dyDescent="0.25">
      <c r="AF304" s="74"/>
    </row>
    <row r="305" spans="32:33" x14ac:dyDescent="0.25">
      <c r="AF305" s="74"/>
    </row>
    <row r="306" spans="32:33" x14ac:dyDescent="0.25">
      <c r="AF306" s="74"/>
    </row>
    <row r="307" spans="32:33" x14ac:dyDescent="0.25">
      <c r="AF307" s="74"/>
    </row>
    <row r="308" spans="32:33" x14ac:dyDescent="0.25">
      <c r="AF308" s="74"/>
    </row>
    <row r="309" spans="32:33" x14ac:dyDescent="0.25">
      <c r="AF309" s="74"/>
      <c r="AG309" s="75"/>
    </row>
    <row r="310" spans="32:33" x14ac:dyDescent="0.25">
      <c r="AF310" s="74"/>
      <c r="AG310" s="75"/>
    </row>
    <row r="311" spans="32:33" x14ac:dyDescent="0.25">
      <c r="AF311" s="74"/>
      <c r="AG311" s="75"/>
    </row>
    <row r="312" spans="32:33" x14ac:dyDescent="0.25">
      <c r="AF312" s="74"/>
      <c r="AG312" s="75"/>
    </row>
    <row r="313" spans="32:33" x14ac:dyDescent="0.25">
      <c r="AF313" s="74"/>
      <c r="AG313" s="75"/>
    </row>
    <row r="314" spans="32:33" x14ac:dyDescent="0.25">
      <c r="AF314" s="74"/>
      <c r="AG314" s="75"/>
    </row>
    <row r="315" spans="32:33" x14ac:dyDescent="0.25">
      <c r="AF315" s="74"/>
      <c r="AG315" s="75"/>
    </row>
    <row r="316" spans="32:33" x14ac:dyDescent="0.25">
      <c r="AF316" s="74"/>
      <c r="AG316" s="75"/>
    </row>
    <row r="317" spans="32:33" x14ac:dyDescent="0.25">
      <c r="AF317" s="74"/>
      <c r="AG317" s="75"/>
    </row>
    <row r="318" spans="32:33" x14ac:dyDescent="0.25">
      <c r="AF318" s="74"/>
      <c r="AG318" s="75"/>
    </row>
    <row r="319" spans="32:33" x14ac:dyDescent="0.25">
      <c r="AF319" s="74"/>
      <c r="AG319" s="75"/>
    </row>
    <row r="320" spans="32:33" x14ac:dyDescent="0.25">
      <c r="AF320" s="74"/>
      <c r="AG320" s="75"/>
    </row>
    <row r="321" spans="32:33" x14ac:dyDescent="0.25">
      <c r="AF321" s="74"/>
      <c r="AG321" s="75"/>
    </row>
    <row r="322" spans="32:33" x14ac:dyDescent="0.25">
      <c r="AF322" s="74"/>
      <c r="AG322" s="75"/>
    </row>
    <row r="323" spans="32:33" x14ac:dyDescent="0.25">
      <c r="AF323" s="74"/>
      <c r="AG323" s="75"/>
    </row>
    <row r="324" spans="32:33" x14ac:dyDescent="0.25">
      <c r="AF324" s="74"/>
      <c r="AG324" s="75"/>
    </row>
    <row r="325" spans="32:33" x14ac:dyDescent="0.25">
      <c r="AF325" s="74"/>
      <c r="AG325" s="75"/>
    </row>
    <row r="326" spans="32:33" x14ac:dyDescent="0.25">
      <c r="AF326" s="74"/>
      <c r="AG326" s="75"/>
    </row>
    <row r="327" spans="32:33" x14ac:dyDescent="0.25">
      <c r="AF327" s="74"/>
      <c r="AG327" s="75"/>
    </row>
    <row r="328" spans="32:33" x14ac:dyDescent="0.25">
      <c r="AF328" s="74"/>
      <c r="AG328" s="75"/>
    </row>
    <row r="329" spans="32:33" x14ac:dyDescent="0.25">
      <c r="AF329" s="74"/>
      <c r="AG329" s="75"/>
    </row>
    <row r="330" spans="32:33" x14ac:dyDescent="0.25">
      <c r="AF330" s="74"/>
      <c r="AG330" s="75"/>
    </row>
    <row r="331" spans="32:33" x14ac:dyDescent="0.25">
      <c r="AF331" s="74"/>
      <c r="AG331" s="75"/>
    </row>
    <row r="332" spans="32:33" x14ac:dyDescent="0.25">
      <c r="AF332" s="74"/>
      <c r="AG332" s="75"/>
    </row>
    <row r="333" spans="32:33" x14ac:dyDescent="0.25">
      <c r="AF333" s="74"/>
      <c r="AG333" s="75"/>
    </row>
    <row r="334" spans="32:33" x14ac:dyDescent="0.25">
      <c r="AF334" s="74"/>
      <c r="AG334" s="75"/>
    </row>
    <row r="335" spans="32:33" x14ac:dyDescent="0.25">
      <c r="AF335" s="74"/>
      <c r="AG335" s="75"/>
    </row>
    <row r="336" spans="32:33" x14ac:dyDescent="0.25">
      <c r="AF336" s="74"/>
      <c r="AG336" s="75"/>
    </row>
    <row r="337" spans="32:33" x14ac:dyDescent="0.25">
      <c r="AF337" s="74"/>
      <c r="AG337" s="75"/>
    </row>
    <row r="338" spans="32:33" x14ac:dyDescent="0.25">
      <c r="AF338" s="74"/>
      <c r="AG338" s="75"/>
    </row>
    <row r="339" spans="32:33" x14ac:dyDescent="0.25">
      <c r="AF339" s="74"/>
      <c r="AG339" s="75"/>
    </row>
    <row r="340" spans="32:33" x14ac:dyDescent="0.25">
      <c r="AF340" s="74"/>
      <c r="AG340" s="75"/>
    </row>
    <row r="341" spans="32:33" x14ac:dyDescent="0.25">
      <c r="AF341" s="74"/>
      <c r="AG341" s="75"/>
    </row>
    <row r="342" spans="32:33" x14ac:dyDescent="0.25">
      <c r="AF342" s="74"/>
      <c r="AG342" s="75"/>
    </row>
    <row r="343" spans="32:33" x14ac:dyDescent="0.25">
      <c r="AF343" s="74"/>
      <c r="AG343" s="75"/>
    </row>
    <row r="344" spans="32:33" x14ac:dyDescent="0.25">
      <c r="AF344" s="74"/>
      <c r="AG344" s="75"/>
    </row>
    <row r="345" spans="32:33" x14ac:dyDescent="0.25">
      <c r="AF345" s="74"/>
      <c r="AG345" s="75"/>
    </row>
    <row r="346" spans="32:33" x14ac:dyDescent="0.25">
      <c r="AF346" s="74"/>
      <c r="AG346" s="75"/>
    </row>
    <row r="347" spans="32:33" x14ac:dyDescent="0.25">
      <c r="AF347" s="74"/>
      <c r="AG347" s="75"/>
    </row>
    <row r="348" spans="32:33" x14ac:dyDescent="0.25">
      <c r="AF348" s="74"/>
      <c r="AG348" s="75"/>
    </row>
    <row r="349" spans="32:33" x14ac:dyDescent="0.25">
      <c r="AF349" s="74"/>
      <c r="AG349" s="75"/>
    </row>
    <row r="350" spans="32:33" x14ac:dyDescent="0.25">
      <c r="AF350" s="74"/>
      <c r="AG350" s="75"/>
    </row>
    <row r="351" spans="32:33" x14ac:dyDescent="0.25">
      <c r="AF351" s="74"/>
      <c r="AG351" s="75"/>
    </row>
    <row r="352" spans="32:33" x14ac:dyDescent="0.25">
      <c r="AF352" s="74"/>
      <c r="AG352" s="75"/>
    </row>
    <row r="353" spans="32:33" x14ac:dyDescent="0.25">
      <c r="AF353" s="74"/>
      <c r="AG353" s="75"/>
    </row>
    <row r="354" spans="32:33" x14ac:dyDescent="0.25">
      <c r="AF354" s="74"/>
      <c r="AG354" s="75"/>
    </row>
    <row r="355" spans="32:33" x14ac:dyDescent="0.25">
      <c r="AF355" s="74"/>
      <c r="AG355" s="75"/>
    </row>
    <row r="356" spans="32:33" x14ac:dyDescent="0.25">
      <c r="AF356" s="74"/>
      <c r="AG356" s="75"/>
    </row>
    <row r="357" spans="32:33" x14ac:dyDescent="0.25">
      <c r="AF357" s="74"/>
      <c r="AG357" s="75"/>
    </row>
    <row r="358" spans="32:33" x14ac:dyDescent="0.25">
      <c r="AF358" s="74"/>
      <c r="AG358" s="75"/>
    </row>
    <row r="359" spans="32:33" x14ac:dyDescent="0.25">
      <c r="AF359" s="74"/>
      <c r="AG359" s="75"/>
    </row>
    <row r="360" spans="32:33" x14ac:dyDescent="0.25">
      <c r="AF360" s="74"/>
      <c r="AG360" s="75"/>
    </row>
    <row r="361" spans="32:33" x14ac:dyDescent="0.25">
      <c r="AF361" s="74"/>
      <c r="AG361" s="75"/>
    </row>
    <row r="362" spans="32:33" x14ac:dyDescent="0.25">
      <c r="AF362" s="74"/>
      <c r="AG362" s="75"/>
    </row>
    <row r="363" spans="32:33" x14ac:dyDescent="0.25">
      <c r="AF363" s="74"/>
      <c r="AG363" s="75"/>
    </row>
    <row r="364" spans="32:33" x14ac:dyDescent="0.25">
      <c r="AF364" s="74"/>
      <c r="AG364" s="75"/>
    </row>
    <row r="365" spans="32:33" x14ac:dyDescent="0.25">
      <c r="AF365" s="74"/>
      <c r="AG365" s="75"/>
    </row>
    <row r="366" spans="32:33" x14ac:dyDescent="0.25">
      <c r="AF366" s="74"/>
      <c r="AG366" s="75"/>
    </row>
    <row r="367" spans="32:33" x14ac:dyDescent="0.25">
      <c r="AF367" s="74"/>
      <c r="AG367" s="75"/>
    </row>
    <row r="368" spans="32:33" x14ac:dyDescent="0.25">
      <c r="AF368" s="74"/>
      <c r="AG368" s="75"/>
    </row>
    <row r="369" spans="32:33" x14ac:dyDescent="0.25">
      <c r="AF369" s="74"/>
      <c r="AG369" s="75"/>
    </row>
    <row r="370" spans="32:33" x14ac:dyDescent="0.25">
      <c r="AF370" s="74"/>
      <c r="AG370" s="75"/>
    </row>
    <row r="371" spans="32:33" x14ac:dyDescent="0.25">
      <c r="AF371" s="74"/>
      <c r="AG371" s="75"/>
    </row>
    <row r="372" spans="32:33" x14ac:dyDescent="0.25">
      <c r="AF372" s="74"/>
      <c r="AG372" s="75"/>
    </row>
    <row r="373" spans="32:33" x14ac:dyDescent="0.25">
      <c r="AF373" s="74"/>
      <c r="AG373" s="75"/>
    </row>
    <row r="374" spans="32:33" x14ac:dyDescent="0.25">
      <c r="AF374" s="74"/>
      <c r="AG374" s="75"/>
    </row>
    <row r="375" spans="32:33" x14ac:dyDescent="0.25">
      <c r="AF375" s="74"/>
      <c r="AG375" s="75"/>
    </row>
    <row r="376" spans="32:33" x14ac:dyDescent="0.25">
      <c r="AF376" s="74"/>
      <c r="AG376" s="75"/>
    </row>
    <row r="377" spans="32:33" x14ac:dyDescent="0.25">
      <c r="AF377" s="74"/>
      <c r="AG377" s="75"/>
    </row>
    <row r="378" spans="32:33" x14ac:dyDescent="0.25">
      <c r="AF378" s="74"/>
      <c r="AG378" s="75"/>
    </row>
    <row r="379" spans="32:33" x14ac:dyDescent="0.25">
      <c r="AF379" s="74"/>
      <c r="AG379" s="75"/>
    </row>
    <row r="380" spans="32:33" x14ac:dyDescent="0.25">
      <c r="AF380" s="74"/>
      <c r="AG380" s="75"/>
    </row>
    <row r="381" spans="32:33" x14ac:dyDescent="0.25">
      <c r="AF381" s="74"/>
      <c r="AG381" s="75"/>
    </row>
    <row r="382" spans="32:33" x14ac:dyDescent="0.25">
      <c r="AF382" s="74"/>
      <c r="AG382" s="75"/>
    </row>
    <row r="383" spans="32:33" x14ac:dyDescent="0.25">
      <c r="AF383" s="74"/>
      <c r="AG383" s="75"/>
    </row>
    <row r="384" spans="32:33" x14ac:dyDescent="0.25">
      <c r="AF384" s="74"/>
      <c r="AG384" s="75"/>
    </row>
    <row r="385" spans="32:33" x14ac:dyDescent="0.25">
      <c r="AF385" s="74"/>
      <c r="AG385" s="75"/>
    </row>
    <row r="386" spans="32:33" x14ac:dyDescent="0.25">
      <c r="AF386" s="74"/>
      <c r="AG386" s="75"/>
    </row>
    <row r="387" spans="32:33" x14ac:dyDescent="0.25">
      <c r="AF387" s="74"/>
    </row>
    <row r="388" spans="32:33" x14ac:dyDescent="0.25">
      <c r="AF388" s="74"/>
    </row>
    <row r="389" spans="32:33" x14ac:dyDescent="0.25">
      <c r="AF389" s="74"/>
    </row>
    <row r="390" spans="32:33" x14ac:dyDescent="0.25">
      <c r="AF390" s="74"/>
    </row>
    <row r="391" spans="32:33" x14ac:dyDescent="0.25">
      <c r="AF391" s="74"/>
    </row>
    <row r="392" spans="32:33" x14ac:dyDescent="0.25">
      <c r="AF392" s="74"/>
    </row>
    <row r="393" spans="32:33" x14ac:dyDescent="0.25">
      <c r="AF393" s="74"/>
    </row>
    <row r="394" spans="32:33" x14ac:dyDescent="0.25">
      <c r="AF394" s="74"/>
    </row>
  </sheetData>
  <autoFilter ref="A1:DP255"/>
  <dataValidations count="7">
    <dataValidation type="list" allowBlank="1" showInputMessage="1" showErrorMessage="1" sqref="I2:I234">
      <formula1>$EZ$2:$EZ$6</formula1>
    </dataValidation>
    <dataValidation type="list" allowBlank="1" showInputMessage="1" showErrorMessage="1" sqref="S2:S234">
      <formula1>$FA$2:$FA$3</formula1>
    </dataValidation>
    <dataValidation type="list" allowBlank="1" showInputMessage="1" showErrorMessage="1" sqref="AV2:AV297">
      <formula1>$FB$2:$FB$10</formula1>
    </dataValidation>
    <dataValidation type="list" allowBlank="1" showInputMessage="1" showErrorMessage="1" sqref="AW2:AW297">
      <formula1>$FC$2:$FC$7</formula1>
    </dataValidation>
    <dataValidation type="list" allowBlank="1" showInputMessage="1" showErrorMessage="1" sqref="AX2:AX297">
      <formula1>$FD$2:$FD$8</formula1>
    </dataValidation>
    <dataValidation type="list" allowBlank="1" showInputMessage="1" showErrorMessage="1" sqref="CW2:DF297">
      <formula1>$FF$2:$FF$4</formula1>
    </dataValidation>
    <dataValidation type="list" allowBlank="1" showInputMessage="1" showErrorMessage="1" sqref="BK2:BM297">
      <formula1>$FG$2:$FG$5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86"/>
  <sheetViews>
    <sheetView workbookViewId="0">
      <selection activeCell="D19" sqref="D19"/>
    </sheetView>
  </sheetViews>
  <sheetFormatPr baseColWidth="10" defaultRowHeight="15" x14ac:dyDescent="0.25"/>
  <cols>
    <col min="1" max="2" width="11.42578125" style="1"/>
    <col min="3" max="3" width="19.85546875" style="1" bestFit="1" customWidth="1"/>
    <col min="4" max="8" width="9.85546875" style="1" customWidth="1"/>
    <col min="9" max="9" width="12.5703125" style="1" bestFit="1" customWidth="1"/>
    <col min="10" max="11" width="9.85546875" style="1" customWidth="1"/>
    <col min="12" max="12" width="12.5703125" style="1" bestFit="1" customWidth="1"/>
    <col min="13" max="16384" width="11.42578125" style="1"/>
  </cols>
  <sheetData>
    <row r="3" spans="3:9" x14ac:dyDescent="0.25">
      <c r="C3" s="115" t="s">
        <v>29</v>
      </c>
      <c r="D3" s="116" t="s">
        <v>117</v>
      </c>
      <c r="E3" s="116" t="s">
        <v>116</v>
      </c>
      <c r="F3" s="116" t="s">
        <v>118</v>
      </c>
      <c r="G3" s="116" t="s">
        <v>119</v>
      </c>
      <c r="H3" s="116" t="s">
        <v>120</v>
      </c>
      <c r="I3" s="116" t="s">
        <v>30</v>
      </c>
    </row>
    <row r="4" spans="3:9" x14ac:dyDescent="0.25">
      <c r="C4" s="117" t="s">
        <v>176</v>
      </c>
      <c r="D4" s="118">
        <v>26</v>
      </c>
      <c r="E4" s="118">
        <v>40</v>
      </c>
      <c r="F4" s="118"/>
      <c r="G4" s="118"/>
      <c r="H4" s="118"/>
      <c r="I4" s="118">
        <v>66</v>
      </c>
    </row>
    <row r="5" spans="3:9" x14ac:dyDescent="0.25">
      <c r="C5" s="121">
        <v>0</v>
      </c>
      <c r="D5" s="120"/>
      <c r="E5" s="120"/>
      <c r="F5" s="120"/>
      <c r="G5" s="120"/>
      <c r="H5" s="120"/>
      <c r="I5" s="120">
        <v>0</v>
      </c>
    </row>
    <row r="6" spans="3:9" x14ac:dyDescent="0.25">
      <c r="C6" s="121">
        <v>0.1</v>
      </c>
      <c r="D6" s="120"/>
      <c r="E6" s="120"/>
      <c r="F6" s="120"/>
      <c r="G6" s="120"/>
      <c r="H6" s="120"/>
      <c r="I6" s="120">
        <v>0</v>
      </c>
    </row>
    <row r="7" spans="3:9" x14ac:dyDescent="0.25">
      <c r="C7" s="121">
        <v>0.2</v>
      </c>
      <c r="D7" s="120"/>
      <c r="E7" s="120"/>
      <c r="F7" s="120"/>
      <c r="G7" s="120"/>
      <c r="H7" s="120"/>
      <c r="I7" s="120">
        <v>0</v>
      </c>
    </row>
    <row r="8" spans="3:9" x14ac:dyDescent="0.25">
      <c r="C8" s="121">
        <v>0.3</v>
      </c>
      <c r="D8" s="120"/>
      <c r="E8" s="120">
        <v>35</v>
      </c>
      <c r="F8" s="120"/>
      <c r="G8" s="120"/>
      <c r="H8" s="120"/>
      <c r="I8" s="120">
        <v>35</v>
      </c>
    </row>
    <row r="9" spans="3:9" x14ac:dyDescent="0.25">
      <c r="C9" s="121">
        <v>0.4</v>
      </c>
      <c r="D9" s="120"/>
      <c r="E9" s="120">
        <v>2</v>
      </c>
      <c r="F9" s="120"/>
      <c r="G9" s="120"/>
      <c r="H9" s="120"/>
      <c r="I9" s="120">
        <v>2</v>
      </c>
    </row>
    <row r="10" spans="3:9" x14ac:dyDescent="0.25">
      <c r="C10" s="121">
        <v>0.5</v>
      </c>
      <c r="D10" s="120"/>
      <c r="E10" s="120">
        <v>3</v>
      </c>
      <c r="F10" s="120"/>
      <c r="G10" s="120"/>
      <c r="H10" s="120"/>
      <c r="I10" s="120">
        <v>3</v>
      </c>
    </row>
    <row r="11" spans="3:9" x14ac:dyDescent="0.25">
      <c r="C11" s="121">
        <v>0.6</v>
      </c>
      <c r="D11" s="120">
        <v>9</v>
      </c>
      <c r="E11" s="120"/>
      <c r="F11" s="120"/>
      <c r="G11" s="120"/>
      <c r="H11" s="120"/>
      <c r="I11" s="120">
        <v>9</v>
      </c>
    </row>
    <row r="12" spans="3:9" x14ac:dyDescent="0.25">
      <c r="C12" s="121">
        <v>0.7</v>
      </c>
      <c r="D12" s="120">
        <v>2</v>
      </c>
      <c r="E12" s="120"/>
      <c r="F12" s="120"/>
      <c r="G12" s="120"/>
      <c r="H12" s="120"/>
      <c r="I12" s="120">
        <v>2</v>
      </c>
    </row>
    <row r="13" spans="3:9" x14ac:dyDescent="0.25">
      <c r="C13" s="121">
        <v>0.8</v>
      </c>
      <c r="D13" s="120">
        <v>7</v>
      </c>
      <c r="E13" s="120"/>
      <c r="F13" s="120"/>
      <c r="G13" s="120"/>
      <c r="H13" s="120"/>
      <c r="I13" s="120">
        <v>7</v>
      </c>
    </row>
    <row r="14" spans="3:9" x14ac:dyDescent="0.25">
      <c r="C14" s="121">
        <v>0.9</v>
      </c>
      <c r="D14" s="120">
        <v>6</v>
      </c>
      <c r="E14" s="120"/>
      <c r="F14" s="120"/>
      <c r="G14" s="120"/>
      <c r="H14" s="120"/>
      <c r="I14" s="120">
        <v>6</v>
      </c>
    </row>
    <row r="15" spans="3:9" x14ac:dyDescent="0.25">
      <c r="C15" s="121">
        <v>1</v>
      </c>
      <c r="D15" s="120">
        <v>2</v>
      </c>
      <c r="E15" s="120"/>
      <c r="F15" s="120"/>
      <c r="G15" s="120"/>
      <c r="H15" s="120"/>
      <c r="I15" s="120">
        <v>2</v>
      </c>
    </row>
    <row r="16" spans="3:9" x14ac:dyDescent="0.25">
      <c r="C16" s="117" t="s">
        <v>177</v>
      </c>
      <c r="D16" s="118"/>
      <c r="E16" s="118">
        <v>11</v>
      </c>
      <c r="F16" s="118">
        <v>72</v>
      </c>
      <c r="G16" s="118"/>
      <c r="H16" s="118"/>
      <c r="I16" s="118">
        <v>83</v>
      </c>
    </row>
    <row r="17" spans="3:9" x14ac:dyDescent="0.25">
      <c r="C17" s="121">
        <v>0</v>
      </c>
      <c r="D17" s="120"/>
      <c r="E17" s="120"/>
      <c r="F17" s="120"/>
      <c r="G17" s="120"/>
      <c r="H17" s="120"/>
      <c r="I17" s="120">
        <v>0</v>
      </c>
    </row>
    <row r="18" spans="3:9" x14ac:dyDescent="0.25">
      <c r="C18" s="121">
        <v>0.1</v>
      </c>
      <c r="D18" s="120"/>
      <c r="E18" s="120">
        <v>2</v>
      </c>
      <c r="F18" s="120">
        <v>72</v>
      </c>
      <c r="G18" s="120"/>
      <c r="H18" s="120"/>
      <c r="I18" s="120">
        <v>74</v>
      </c>
    </row>
    <row r="19" spans="3:9" x14ac:dyDescent="0.25">
      <c r="C19" s="121">
        <v>0.2</v>
      </c>
      <c r="D19" s="120"/>
      <c r="E19" s="120">
        <v>9</v>
      </c>
      <c r="F19" s="120"/>
      <c r="G19" s="120"/>
      <c r="H19" s="120"/>
      <c r="I19" s="120">
        <v>9</v>
      </c>
    </row>
    <row r="20" spans="3:9" x14ac:dyDescent="0.25">
      <c r="C20" s="121">
        <v>0.3</v>
      </c>
      <c r="D20" s="120"/>
      <c r="E20" s="120"/>
      <c r="F20" s="120"/>
      <c r="G20" s="120"/>
      <c r="H20" s="120"/>
      <c r="I20" s="120">
        <v>0</v>
      </c>
    </row>
    <row r="21" spans="3:9" x14ac:dyDescent="0.25">
      <c r="C21" s="121">
        <v>0.4</v>
      </c>
      <c r="D21" s="120"/>
      <c r="E21" s="120"/>
      <c r="F21" s="120"/>
      <c r="G21" s="120"/>
      <c r="H21" s="120"/>
      <c r="I21" s="120">
        <v>0</v>
      </c>
    </row>
    <row r="22" spans="3:9" x14ac:dyDescent="0.25">
      <c r="C22" s="121">
        <v>0.5</v>
      </c>
      <c r="D22" s="120"/>
      <c r="E22" s="120"/>
      <c r="F22" s="120"/>
      <c r="G22" s="120"/>
      <c r="H22" s="120"/>
      <c r="I22" s="120">
        <v>0</v>
      </c>
    </row>
    <row r="23" spans="3:9" x14ac:dyDescent="0.25">
      <c r="C23" s="121">
        <v>0.6</v>
      </c>
      <c r="D23" s="120"/>
      <c r="E23" s="120"/>
      <c r="F23" s="120"/>
      <c r="G23" s="120"/>
      <c r="H23" s="120"/>
      <c r="I23" s="120">
        <v>0</v>
      </c>
    </row>
    <row r="24" spans="3:9" x14ac:dyDescent="0.25">
      <c r="C24" s="121">
        <v>0.7</v>
      </c>
      <c r="D24" s="120"/>
      <c r="E24" s="120"/>
      <c r="F24" s="120"/>
      <c r="G24" s="120"/>
      <c r="H24" s="120"/>
      <c r="I24" s="120">
        <v>0</v>
      </c>
    </row>
    <row r="25" spans="3:9" x14ac:dyDescent="0.25">
      <c r="C25" s="121">
        <v>0.8</v>
      </c>
      <c r="D25" s="120"/>
      <c r="E25" s="120"/>
      <c r="F25" s="120"/>
      <c r="G25" s="120"/>
      <c r="H25" s="120"/>
      <c r="I25" s="120">
        <v>0</v>
      </c>
    </row>
    <row r="26" spans="3:9" x14ac:dyDescent="0.25">
      <c r="C26" s="121">
        <v>0.9</v>
      </c>
      <c r="D26" s="120"/>
      <c r="E26" s="120"/>
      <c r="F26" s="120"/>
      <c r="G26" s="120"/>
      <c r="H26" s="120"/>
      <c r="I26" s="120">
        <v>0</v>
      </c>
    </row>
    <row r="27" spans="3:9" x14ac:dyDescent="0.25">
      <c r="C27" s="121">
        <v>1</v>
      </c>
      <c r="D27" s="120"/>
      <c r="E27" s="120"/>
      <c r="F27" s="120"/>
      <c r="G27" s="120"/>
      <c r="H27" s="120"/>
      <c r="I27" s="120">
        <v>0</v>
      </c>
    </row>
    <row r="28" spans="3:9" x14ac:dyDescent="0.25">
      <c r="C28" s="117" t="s">
        <v>178</v>
      </c>
      <c r="D28" s="118"/>
      <c r="E28" s="118"/>
      <c r="F28" s="118"/>
      <c r="G28" s="118">
        <v>51</v>
      </c>
      <c r="H28" s="118">
        <v>33</v>
      </c>
      <c r="I28" s="118">
        <v>84</v>
      </c>
    </row>
    <row r="29" spans="3:9" x14ac:dyDescent="0.25">
      <c r="C29" s="121">
        <v>0</v>
      </c>
      <c r="D29" s="120"/>
      <c r="E29" s="120"/>
      <c r="F29" s="120"/>
      <c r="G29" s="120">
        <v>28</v>
      </c>
      <c r="H29" s="120">
        <v>33</v>
      </c>
      <c r="I29" s="120">
        <v>61</v>
      </c>
    </row>
    <row r="30" spans="3:9" x14ac:dyDescent="0.25">
      <c r="C30" s="121">
        <v>0.1</v>
      </c>
      <c r="D30" s="120"/>
      <c r="E30" s="120"/>
      <c r="F30" s="120"/>
      <c r="G30" s="120">
        <v>23</v>
      </c>
      <c r="H30" s="120"/>
      <c r="I30" s="120">
        <v>23</v>
      </c>
    </row>
    <row r="31" spans="3:9" x14ac:dyDescent="0.25">
      <c r="C31" s="121">
        <v>0.2</v>
      </c>
      <c r="D31" s="120"/>
      <c r="E31" s="120"/>
      <c r="F31" s="120"/>
      <c r="G31" s="120"/>
      <c r="H31" s="120"/>
      <c r="I31" s="120">
        <v>0</v>
      </c>
    </row>
    <row r="32" spans="3:9" x14ac:dyDescent="0.25">
      <c r="C32" s="121">
        <v>0.3</v>
      </c>
      <c r="D32" s="120"/>
      <c r="E32" s="120"/>
      <c r="F32" s="120"/>
      <c r="G32" s="120"/>
      <c r="H32" s="120"/>
      <c r="I32" s="120">
        <v>0</v>
      </c>
    </row>
    <row r="33" spans="3:9" x14ac:dyDescent="0.25">
      <c r="C33" s="121">
        <v>0.4</v>
      </c>
      <c r="D33" s="120"/>
      <c r="E33" s="120"/>
      <c r="F33" s="120"/>
      <c r="G33" s="120"/>
      <c r="H33" s="120"/>
      <c r="I33" s="120">
        <v>0</v>
      </c>
    </row>
    <row r="34" spans="3:9" x14ac:dyDescent="0.25">
      <c r="C34" s="121">
        <v>0.5</v>
      </c>
      <c r="D34" s="120"/>
      <c r="E34" s="120"/>
      <c r="F34" s="120"/>
      <c r="G34" s="120"/>
      <c r="H34" s="120"/>
      <c r="I34" s="120">
        <v>0</v>
      </c>
    </row>
    <row r="35" spans="3:9" x14ac:dyDescent="0.25">
      <c r="C35" s="121">
        <v>0.6</v>
      </c>
      <c r="D35" s="120"/>
      <c r="E35" s="120"/>
      <c r="F35" s="120"/>
      <c r="G35" s="120"/>
      <c r="H35" s="120"/>
      <c r="I35" s="120">
        <v>0</v>
      </c>
    </row>
    <row r="36" spans="3:9" x14ac:dyDescent="0.25">
      <c r="C36" s="121">
        <v>0.7</v>
      </c>
      <c r="D36" s="120"/>
      <c r="E36" s="120"/>
      <c r="F36" s="120"/>
      <c r="G36" s="120"/>
      <c r="H36" s="120"/>
      <c r="I36" s="120">
        <v>0</v>
      </c>
    </row>
    <row r="37" spans="3:9" x14ac:dyDescent="0.25">
      <c r="C37" s="121">
        <v>0.8</v>
      </c>
      <c r="D37" s="120"/>
      <c r="E37" s="120"/>
      <c r="F37" s="120"/>
      <c r="G37" s="120"/>
      <c r="H37" s="120"/>
      <c r="I37" s="120">
        <v>0</v>
      </c>
    </row>
    <row r="38" spans="3:9" x14ac:dyDescent="0.25">
      <c r="C38" s="121">
        <v>0.9</v>
      </c>
      <c r="D38" s="120"/>
      <c r="E38" s="120"/>
      <c r="F38" s="120"/>
      <c r="G38" s="120"/>
      <c r="H38" s="120"/>
      <c r="I38" s="120">
        <v>0</v>
      </c>
    </row>
    <row r="39" spans="3:9" x14ac:dyDescent="0.25">
      <c r="C39" s="121">
        <v>1</v>
      </c>
      <c r="D39" s="120"/>
      <c r="E39" s="120"/>
      <c r="F39" s="120"/>
      <c r="G39" s="120"/>
      <c r="H39" s="120"/>
      <c r="I39" s="120">
        <v>0</v>
      </c>
    </row>
    <row r="40" spans="3:9" x14ac:dyDescent="0.25">
      <c r="C40" s="119" t="s">
        <v>30</v>
      </c>
      <c r="D40" s="118">
        <v>26</v>
      </c>
      <c r="E40" s="118">
        <v>51</v>
      </c>
      <c r="F40" s="118">
        <v>72</v>
      </c>
      <c r="G40" s="118">
        <v>51</v>
      </c>
      <c r="H40" s="118">
        <v>33</v>
      </c>
      <c r="I40" s="118">
        <v>233</v>
      </c>
    </row>
    <row r="54" spans="3:9" x14ac:dyDescent="0.25">
      <c r="C54" s="27" t="s">
        <v>5</v>
      </c>
      <c r="D54" s="27" t="s">
        <v>41</v>
      </c>
    </row>
    <row r="55" spans="3:9" x14ac:dyDescent="0.25">
      <c r="C55" s="27" t="s">
        <v>1</v>
      </c>
      <c r="D55" s="49" t="s">
        <v>41</v>
      </c>
    </row>
    <row r="57" spans="3:9" x14ac:dyDescent="0.25">
      <c r="C57" s="27" t="s">
        <v>32</v>
      </c>
      <c r="D57" s="27" t="s">
        <v>42</v>
      </c>
      <c r="E57" s="27"/>
      <c r="F57" s="27"/>
      <c r="G57" s="27"/>
      <c r="H57" s="27"/>
      <c r="I57" s="27"/>
    </row>
    <row r="58" spans="3:9" x14ac:dyDescent="0.25">
      <c r="C58" s="36" t="s">
        <v>29</v>
      </c>
      <c r="D58" s="47" t="s">
        <v>117</v>
      </c>
      <c r="E58" s="47" t="s">
        <v>116</v>
      </c>
      <c r="F58" s="47" t="s">
        <v>118</v>
      </c>
      <c r="G58" s="47" t="s">
        <v>119</v>
      </c>
      <c r="H58" s="47" t="s">
        <v>120</v>
      </c>
      <c r="I58" s="47" t="s">
        <v>30</v>
      </c>
    </row>
    <row r="59" spans="3:9" x14ac:dyDescent="0.25">
      <c r="C59" s="32" t="s">
        <v>176</v>
      </c>
      <c r="D59" s="120">
        <v>26</v>
      </c>
      <c r="E59" s="120">
        <v>40</v>
      </c>
      <c r="F59" s="120"/>
      <c r="G59" s="120"/>
      <c r="H59" s="120"/>
      <c r="I59" s="120">
        <v>66</v>
      </c>
    </row>
    <row r="60" spans="3:9" x14ac:dyDescent="0.25">
      <c r="C60" s="48">
        <v>0.3</v>
      </c>
      <c r="D60" s="120"/>
      <c r="E60" s="120">
        <v>35</v>
      </c>
      <c r="F60" s="120"/>
      <c r="G60" s="120"/>
      <c r="H60" s="120"/>
      <c r="I60" s="120">
        <v>35</v>
      </c>
    </row>
    <row r="61" spans="3:9" x14ac:dyDescent="0.25">
      <c r="C61" s="48">
        <v>0.4</v>
      </c>
      <c r="D61" s="120"/>
      <c r="E61" s="120">
        <v>2</v>
      </c>
      <c r="F61" s="120"/>
      <c r="G61" s="120"/>
      <c r="H61" s="120"/>
      <c r="I61" s="120">
        <v>2</v>
      </c>
    </row>
    <row r="62" spans="3:9" x14ac:dyDescent="0.25">
      <c r="C62" s="48">
        <v>0.5</v>
      </c>
      <c r="D62" s="120"/>
      <c r="E62" s="120">
        <v>3</v>
      </c>
      <c r="F62" s="120"/>
      <c r="G62" s="120"/>
      <c r="H62" s="120"/>
      <c r="I62" s="120">
        <v>3</v>
      </c>
    </row>
    <row r="63" spans="3:9" x14ac:dyDescent="0.25">
      <c r="C63" s="48">
        <v>0.6</v>
      </c>
      <c r="D63" s="120">
        <v>9</v>
      </c>
      <c r="E63" s="120"/>
      <c r="F63" s="120"/>
      <c r="G63" s="120"/>
      <c r="H63" s="120"/>
      <c r="I63" s="120">
        <v>9</v>
      </c>
    </row>
    <row r="64" spans="3:9" x14ac:dyDescent="0.25">
      <c r="C64" s="48">
        <v>0.7</v>
      </c>
      <c r="D64" s="120">
        <v>2</v>
      </c>
      <c r="E64" s="120"/>
      <c r="F64" s="120"/>
      <c r="G64" s="120"/>
      <c r="H64" s="120"/>
      <c r="I64" s="120">
        <v>2</v>
      </c>
    </row>
    <row r="65" spans="3:9" x14ac:dyDescent="0.25">
      <c r="C65" s="48">
        <v>0.8</v>
      </c>
      <c r="D65" s="120">
        <v>7</v>
      </c>
      <c r="E65" s="120"/>
      <c r="F65" s="120"/>
      <c r="G65" s="120"/>
      <c r="H65" s="120"/>
      <c r="I65" s="120">
        <v>7</v>
      </c>
    </row>
    <row r="66" spans="3:9" x14ac:dyDescent="0.25">
      <c r="C66" s="48">
        <v>0.9</v>
      </c>
      <c r="D66" s="120">
        <v>6</v>
      </c>
      <c r="E66" s="120"/>
      <c r="F66" s="120"/>
      <c r="G66" s="120"/>
      <c r="H66" s="120"/>
      <c r="I66" s="120">
        <v>6</v>
      </c>
    </row>
    <row r="67" spans="3:9" x14ac:dyDescent="0.25">
      <c r="C67" s="48">
        <v>1</v>
      </c>
      <c r="D67" s="120">
        <v>2</v>
      </c>
      <c r="E67" s="120"/>
      <c r="F67" s="120"/>
      <c r="G67" s="120"/>
      <c r="H67" s="120"/>
      <c r="I67" s="120">
        <v>2</v>
      </c>
    </row>
    <row r="68" spans="3:9" x14ac:dyDescent="0.25">
      <c r="C68" s="32" t="s">
        <v>177</v>
      </c>
      <c r="D68" s="120"/>
      <c r="E68" s="120">
        <v>11</v>
      </c>
      <c r="F68" s="120">
        <v>72</v>
      </c>
      <c r="G68" s="120"/>
      <c r="H68" s="120"/>
      <c r="I68" s="120">
        <v>83</v>
      </c>
    </row>
    <row r="69" spans="3:9" x14ac:dyDescent="0.25">
      <c r="C69" s="48">
        <v>0.1</v>
      </c>
      <c r="D69" s="120"/>
      <c r="E69" s="120">
        <v>2</v>
      </c>
      <c r="F69" s="120">
        <v>72</v>
      </c>
      <c r="G69" s="120"/>
      <c r="H69" s="120"/>
      <c r="I69" s="120">
        <v>74</v>
      </c>
    </row>
    <row r="70" spans="3:9" x14ac:dyDescent="0.25">
      <c r="C70" s="48">
        <v>0.2</v>
      </c>
      <c r="D70" s="120"/>
      <c r="E70" s="120">
        <v>9</v>
      </c>
      <c r="F70" s="120"/>
      <c r="G70" s="120"/>
      <c r="H70" s="120"/>
      <c r="I70" s="120">
        <v>9</v>
      </c>
    </row>
    <row r="71" spans="3:9" x14ac:dyDescent="0.25">
      <c r="C71" s="32" t="s">
        <v>178</v>
      </c>
      <c r="D71" s="120"/>
      <c r="E71" s="120"/>
      <c r="F71" s="120"/>
      <c r="G71" s="120">
        <v>51</v>
      </c>
      <c r="H71" s="120">
        <v>33</v>
      </c>
      <c r="I71" s="120">
        <v>84</v>
      </c>
    </row>
    <row r="72" spans="3:9" x14ac:dyDescent="0.25">
      <c r="C72" s="48">
        <v>0</v>
      </c>
      <c r="D72" s="120"/>
      <c r="E72" s="120"/>
      <c r="F72" s="120"/>
      <c r="G72" s="120">
        <v>28</v>
      </c>
      <c r="H72" s="120">
        <v>33</v>
      </c>
      <c r="I72" s="120">
        <v>61</v>
      </c>
    </row>
    <row r="73" spans="3:9" x14ac:dyDescent="0.25">
      <c r="C73" s="48">
        <v>0.1</v>
      </c>
      <c r="D73" s="120"/>
      <c r="E73" s="120"/>
      <c r="F73" s="120"/>
      <c r="G73" s="120">
        <v>23</v>
      </c>
      <c r="H73" s="120"/>
      <c r="I73" s="120">
        <v>23</v>
      </c>
    </row>
    <row r="74" spans="3:9" x14ac:dyDescent="0.25">
      <c r="C74" s="34" t="s">
        <v>30</v>
      </c>
      <c r="D74" s="120">
        <v>26</v>
      </c>
      <c r="E74" s="120">
        <v>51</v>
      </c>
      <c r="F74" s="120">
        <v>72</v>
      </c>
      <c r="G74" s="120">
        <v>51</v>
      </c>
      <c r="H74" s="120">
        <v>33</v>
      </c>
      <c r="I74" s="120">
        <v>233</v>
      </c>
    </row>
    <row r="75" spans="3:9" x14ac:dyDescent="0.25">
      <c r="C75"/>
      <c r="D75"/>
      <c r="E75"/>
      <c r="F75"/>
      <c r="G75"/>
      <c r="H75"/>
      <c r="I75"/>
    </row>
    <row r="76" spans="3:9" x14ac:dyDescent="0.25">
      <c r="C76"/>
      <c r="D76"/>
      <c r="E76"/>
      <c r="F76"/>
      <c r="G76"/>
      <c r="H76"/>
      <c r="I76"/>
    </row>
    <row r="77" spans="3:9" x14ac:dyDescent="0.25">
      <c r="C77"/>
      <c r="D77"/>
      <c r="E77"/>
      <c r="F77"/>
      <c r="G77"/>
      <c r="H77"/>
      <c r="I77"/>
    </row>
    <row r="78" spans="3:9" x14ac:dyDescent="0.25">
      <c r="C78"/>
      <c r="D78"/>
      <c r="E78"/>
      <c r="F78"/>
      <c r="G78"/>
      <c r="H78"/>
      <c r="I78"/>
    </row>
    <row r="79" spans="3:9" x14ac:dyDescent="0.25">
      <c r="C79"/>
      <c r="D79"/>
      <c r="E79"/>
      <c r="F79"/>
      <c r="G79"/>
      <c r="H79"/>
      <c r="I79"/>
    </row>
    <row r="80" spans="3:9" x14ac:dyDescent="0.25">
      <c r="C80"/>
      <c r="D80"/>
      <c r="E80"/>
      <c r="F80"/>
      <c r="G80"/>
      <c r="H80"/>
      <c r="I80"/>
    </row>
    <row r="81" spans="3:9" x14ac:dyDescent="0.25">
      <c r="C81"/>
      <c r="D81"/>
      <c r="E81"/>
      <c r="F81"/>
      <c r="G81"/>
      <c r="H81"/>
      <c r="I81"/>
    </row>
    <row r="82" spans="3:9" x14ac:dyDescent="0.25">
      <c r="C82"/>
      <c r="D82"/>
      <c r="E82"/>
      <c r="F82"/>
      <c r="G82"/>
      <c r="H82"/>
      <c r="I82"/>
    </row>
    <row r="83" spans="3:9" x14ac:dyDescent="0.25">
      <c r="C83"/>
      <c r="D83"/>
      <c r="E83"/>
      <c r="F83"/>
      <c r="G83"/>
      <c r="H83"/>
      <c r="I83"/>
    </row>
    <row r="84" spans="3:9" x14ac:dyDescent="0.25">
      <c r="C84"/>
      <c r="D84"/>
      <c r="E84"/>
      <c r="F84"/>
      <c r="G84"/>
      <c r="H84"/>
      <c r="I84"/>
    </row>
    <row r="85" spans="3:9" x14ac:dyDescent="0.25">
      <c r="C85"/>
      <c r="D85"/>
      <c r="E85"/>
      <c r="F85"/>
      <c r="G85"/>
      <c r="H85"/>
      <c r="I85"/>
    </row>
    <row r="86" spans="3:9" x14ac:dyDescent="0.25">
      <c r="C86"/>
      <c r="D86"/>
      <c r="E86"/>
      <c r="F86"/>
      <c r="G86"/>
      <c r="H86"/>
      <c r="I86"/>
    </row>
  </sheetData>
  <pageMargins left="0.7" right="0.7" top="0.75" bottom="0.75" header="0.3" footer="0.3"/>
  <pageSetup orientation="portrait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14"/>
  <sheetViews>
    <sheetView topLeftCell="A4" workbookViewId="0">
      <selection activeCell="E21" sqref="E21"/>
    </sheetView>
  </sheetViews>
  <sheetFormatPr baseColWidth="10" defaultRowHeight="15" x14ac:dyDescent="0.25"/>
  <cols>
    <col min="1" max="2" width="11.42578125" style="1"/>
    <col min="3" max="3" width="19.85546875" style="1" bestFit="1" customWidth="1"/>
    <col min="4" max="5" width="8.42578125" style="1" customWidth="1"/>
    <col min="6" max="6" width="13.5703125" style="1" customWidth="1"/>
    <col min="7" max="8" width="9" style="1" customWidth="1"/>
    <col min="9" max="9" width="13" style="1" bestFit="1" customWidth="1"/>
    <col min="10" max="11" width="8.7109375" style="1" customWidth="1"/>
    <col min="12" max="12" width="13" style="1" bestFit="1" customWidth="1"/>
    <col min="13" max="13" width="12.5703125" style="1" bestFit="1" customWidth="1"/>
    <col min="14" max="16384" width="11.42578125" style="1"/>
  </cols>
  <sheetData>
    <row r="6" spans="3:13" x14ac:dyDescent="0.25">
      <c r="C6" s="36" t="s">
        <v>32</v>
      </c>
      <c r="D6" s="36" t="s">
        <v>42</v>
      </c>
      <c r="E6" s="27"/>
      <c r="F6" s="27"/>
      <c r="G6" s="27"/>
      <c r="H6" s="27"/>
      <c r="I6" s="27"/>
      <c r="J6" s="27"/>
      <c r="K6" s="27"/>
      <c r="L6" s="27"/>
      <c r="M6" s="27"/>
    </row>
    <row r="7" spans="3:13" x14ac:dyDescent="0.25">
      <c r="C7" s="36"/>
      <c r="D7" s="153" t="s">
        <v>176</v>
      </c>
      <c r="E7" s="153"/>
      <c r="F7" s="154" t="s">
        <v>181</v>
      </c>
      <c r="G7" s="153" t="s">
        <v>177</v>
      </c>
      <c r="H7" s="153"/>
      <c r="I7" s="154" t="s">
        <v>180</v>
      </c>
      <c r="J7" s="153" t="s">
        <v>178</v>
      </c>
      <c r="K7" s="153"/>
      <c r="L7" s="154" t="s">
        <v>179</v>
      </c>
      <c r="M7" s="81" t="s">
        <v>30</v>
      </c>
    </row>
    <row r="8" spans="3:13" x14ac:dyDescent="0.25">
      <c r="C8" s="36" t="s">
        <v>29</v>
      </c>
      <c r="D8" s="46" t="s">
        <v>8</v>
      </c>
      <c r="E8" s="46" t="s">
        <v>306</v>
      </c>
      <c r="F8" s="154"/>
      <c r="G8" s="46" t="s">
        <v>8</v>
      </c>
      <c r="H8" s="46" t="s">
        <v>306</v>
      </c>
      <c r="I8" s="154"/>
      <c r="J8" s="46" t="s">
        <v>8</v>
      </c>
      <c r="K8" s="46" t="s">
        <v>306</v>
      </c>
      <c r="L8" s="154"/>
      <c r="M8" s="54"/>
    </row>
    <row r="9" spans="3:13" x14ac:dyDescent="0.25">
      <c r="C9" s="132" t="s">
        <v>40</v>
      </c>
      <c r="D9" s="50">
        <v>1</v>
      </c>
      <c r="E9" s="50">
        <v>1</v>
      </c>
      <c r="F9" s="35">
        <v>2</v>
      </c>
      <c r="G9" s="50"/>
      <c r="H9" s="50"/>
      <c r="I9" s="35"/>
      <c r="J9" s="50"/>
      <c r="K9" s="50">
        <v>1</v>
      </c>
      <c r="L9" s="35">
        <v>1</v>
      </c>
      <c r="M9" s="50">
        <v>3</v>
      </c>
    </row>
    <row r="10" spans="3:13" x14ac:dyDescent="0.25">
      <c r="C10" s="31" t="s">
        <v>60</v>
      </c>
      <c r="D10" s="50">
        <v>3</v>
      </c>
      <c r="E10" s="50">
        <v>7</v>
      </c>
      <c r="F10" s="35">
        <v>10</v>
      </c>
      <c r="G10" s="50"/>
      <c r="H10" s="50"/>
      <c r="I10" s="35"/>
      <c r="J10" s="50"/>
      <c r="K10" s="50">
        <v>1</v>
      </c>
      <c r="L10" s="35">
        <v>1</v>
      </c>
      <c r="M10" s="29">
        <v>11</v>
      </c>
    </row>
    <row r="11" spans="3:13" x14ac:dyDescent="0.25">
      <c r="C11" s="31" t="s">
        <v>39</v>
      </c>
      <c r="D11" s="50">
        <v>1</v>
      </c>
      <c r="E11" s="50">
        <v>1</v>
      </c>
      <c r="F11" s="35">
        <v>2</v>
      </c>
      <c r="G11" s="50"/>
      <c r="H11" s="50"/>
      <c r="I11" s="35"/>
      <c r="J11" s="50">
        <v>1</v>
      </c>
      <c r="K11" s="50"/>
      <c r="L11" s="35">
        <v>1</v>
      </c>
      <c r="M11" s="29">
        <v>3</v>
      </c>
    </row>
    <row r="12" spans="3:13" x14ac:dyDescent="0.25">
      <c r="C12" s="133" t="s">
        <v>59</v>
      </c>
      <c r="D12" s="82">
        <v>2</v>
      </c>
      <c r="E12" s="82">
        <v>1</v>
      </c>
      <c r="F12" s="35">
        <v>3</v>
      </c>
      <c r="G12" s="82"/>
      <c r="H12" s="82"/>
      <c r="I12" s="35"/>
      <c r="J12" s="82"/>
      <c r="K12" s="82">
        <v>1</v>
      </c>
      <c r="L12" s="35">
        <v>1</v>
      </c>
      <c r="M12" s="82">
        <v>4</v>
      </c>
    </row>
    <row r="13" spans="3:13" x14ac:dyDescent="0.25">
      <c r="C13" s="134" t="s">
        <v>58</v>
      </c>
      <c r="D13" s="83">
        <v>17</v>
      </c>
      <c r="E13" s="83">
        <v>32</v>
      </c>
      <c r="F13" s="155">
        <v>49</v>
      </c>
      <c r="G13" s="83">
        <v>31</v>
      </c>
      <c r="H13" s="83">
        <v>52</v>
      </c>
      <c r="I13" s="155">
        <v>83</v>
      </c>
      <c r="J13" s="83">
        <v>32</v>
      </c>
      <c r="K13" s="83">
        <v>48</v>
      </c>
      <c r="L13" s="155">
        <v>80</v>
      </c>
      <c r="M13" s="83">
        <v>212</v>
      </c>
    </row>
    <row r="14" spans="3:13" x14ac:dyDescent="0.25">
      <c r="C14" s="53" t="s">
        <v>30</v>
      </c>
      <c r="D14" s="52">
        <v>24</v>
      </c>
      <c r="E14" s="52">
        <v>42</v>
      </c>
      <c r="F14" s="35">
        <v>66</v>
      </c>
      <c r="G14" s="52">
        <v>31</v>
      </c>
      <c r="H14" s="52">
        <v>52</v>
      </c>
      <c r="I14" s="35">
        <v>83</v>
      </c>
      <c r="J14" s="52">
        <v>33</v>
      </c>
      <c r="K14" s="52">
        <v>51</v>
      </c>
      <c r="L14" s="35">
        <v>84</v>
      </c>
      <c r="M14" s="52">
        <v>233</v>
      </c>
    </row>
  </sheetData>
  <pageMargins left="0.7" right="0.7" top="0.75" bottom="0.75" header="0.3" footer="0.3"/>
  <pageSetup orientation="portrait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H64"/>
  <sheetViews>
    <sheetView topLeftCell="X1" workbookViewId="0">
      <selection activeCell="AH9" sqref="AH9"/>
    </sheetView>
  </sheetViews>
  <sheetFormatPr baseColWidth="10" defaultRowHeight="15" x14ac:dyDescent="0.25"/>
  <cols>
    <col min="1" max="2" width="11.42578125" style="1"/>
    <col min="3" max="3" width="19.85546875" style="1" bestFit="1" customWidth="1"/>
    <col min="4" max="4" width="18.42578125" style="1" customWidth="1"/>
    <col min="5" max="5" width="12" style="1" bestFit="1" customWidth="1"/>
    <col min="6" max="6" width="14" style="1" bestFit="1" customWidth="1"/>
    <col min="7" max="7" width="11.5703125" style="1" bestFit="1" customWidth="1"/>
    <col min="8" max="8" width="11.85546875" style="1" bestFit="1" customWidth="1"/>
    <col min="9" max="9" width="12.5703125" style="1" bestFit="1" customWidth="1"/>
    <col min="10" max="11" width="9.85546875" style="1" customWidth="1"/>
    <col min="12" max="12" width="12.5703125" style="1" bestFit="1" customWidth="1"/>
    <col min="13" max="13" width="19.5703125" style="1" customWidth="1"/>
    <col min="14" max="19" width="14.42578125" style="1" customWidth="1"/>
    <col min="20" max="25" width="11.42578125" style="1"/>
    <col min="26" max="26" width="26.140625" style="1" bestFit="1" customWidth="1"/>
    <col min="27" max="27" width="24.7109375" style="1" bestFit="1" customWidth="1"/>
    <col min="28" max="31" width="13" style="1" bestFit="1" customWidth="1"/>
    <col min="32" max="32" width="13.7109375" style="1" bestFit="1" customWidth="1"/>
    <col min="33" max="33" width="9.5703125" style="1" bestFit="1" customWidth="1"/>
    <col min="34" max="16384" width="11.42578125" style="1"/>
  </cols>
  <sheetData>
    <row r="1" spans="3:34" x14ac:dyDescent="0.25">
      <c r="C1" s="1" t="s">
        <v>328</v>
      </c>
    </row>
    <row r="3" spans="3:34" x14ac:dyDescent="0.25">
      <c r="C3" s="127"/>
      <c r="M3" s="128" t="s">
        <v>50</v>
      </c>
      <c r="N3" s="128" t="s">
        <v>162</v>
      </c>
      <c r="Z3"/>
      <c r="AA3"/>
    </row>
    <row r="4" spans="3:34" x14ac:dyDescent="0.25">
      <c r="C4" s="128" t="s">
        <v>50</v>
      </c>
      <c r="D4" s="128" t="s">
        <v>162</v>
      </c>
      <c r="M4" s="128" t="s">
        <v>161</v>
      </c>
      <c r="N4" s="36" t="s">
        <v>41</v>
      </c>
      <c r="Z4" s="128" t="s">
        <v>161</v>
      </c>
      <c r="AA4" s="36" t="s">
        <v>41</v>
      </c>
    </row>
    <row r="5" spans="3:34" x14ac:dyDescent="0.25">
      <c r="C5" s="127"/>
      <c r="M5" s="127"/>
      <c r="Z5" s="127"/>
    </row>
    <row r="6" spans="3:34" x14ac:dyDescent="0.25">
      <c r="C6" s="128" t="s">
        <v>160</v>
      </c>
      <c r="D6" s="27" t="s">
        <v>42</v>
      </c>
      <c r="E6" s="27"/>
      <c r="F6" s="27"/>
      <c r="G6" s="27"/>
      <c r="H6" s="27"/>
      <c r="I6" s="27"/>
      <c r="M6" s="128" t="s">
        <v>160</v>
      </c>
      <c r="N6" s="27" t="s">
        <v>42</v>
      </c>
      <c r="O6" s="27"/>
      <c r="P6" s="27"/>
      <c r="Q6" s="27"/>
      <c r="R6" s="27"/>
      <c r="S6" s="27"/>
      <c r="T6" s="27"/>
      <c r="U6" s="27"/>
      <c r="Z6" s="128" t="s">
        <v>160</v>
      </c>
      <c r="AA6" s="27" t="s">
        <v>42</v>
      </c>
      <c r="AB6" s="27"/>
      <c r="AC6" s="27"/>
      <c r="AD6" s="27"/>
      <c r="AE6" s="27"/>
      <c r="AF6" s="27"/>
      <c r="AG6" s="27"/>
      <c r="AH6"/>
    </row>
    <row r="7" spans="3:34" x14ac:dyDescent="0.25">
      <c r="C7" s="128" t="s">
        <v>29</v>
      </c>
      <c r="D7" s="51" t="s">
        <v>38</v>
      </c>
      <c r="E7" s="71" t="s">
        <v>77</v>
      </c>
      <c r="F7" s="78" t="s">
        <v>76</v>
      </c>
      <c r="G7" s="78" t="s">
        <v>78</v>
      </c>
      <c r="H7" s="72" t="s">
        <v>150</v>
      </c>
      <c r="I7" s="54" t="s">
        <v>30</v>
      </c>
      <c r="M7" s="36" t="s">
        <v>29</v>
      </c>
      <c r="N7" s="157" t="s">
        <v>362</v>
      </c>
      <c r="O7" s="157" t="s">
        <v>358</v>
      </c>
      <c r="P7" s="157" t="s">
        <v>359</v>
      </c>
      <c r="Q7" s="157" t="s">
        <v>360</v>
      </c>
      <c r="R7" s="157" t="s">
        <v>361</v>
      </c>
      <c r="S7" s="157" t="s">
        <v>363</v>
      </c>
      <c r="T7" s="27" t="s">
        <v>322</v>
      </c>
      <c r="U7" s="158" t="s">
        <v>30</v>
      </c>
      <c r="Z7" s="128" t="s">
        <v>29</v>
      </c>
      <c r="AA7" s="157" t="s">
        <v>362</v>
      </c>
      <c r="AB7" s="157" t="s">
        <v>358</v>
      </c>
      <c r="AC7" s="157" t="s">
        <v>359</v>
      </c>
      <c r="AD7" s="157" t="s">
        <v>360</v>
      </c>
      <c r="AE7" s="157" t="s">
        <v>361</v>
      </c>
      <c r="AF7" s="157" t="s">
        <v>363</v>
      </c>
      <c r="AG7" s="158" t="s">
        <v>30</v>
      </c>
      <c r="AH7"/>
    </row>
    <row r="8" spans="3:34" x14ac:dyDescent="0.25">
      <c r="C8" s="76" t="s">
        <v>170</v>
      </c>
      <c r="D8" s="29"/>
      <c r="E8" s="29">
        <v>5</v>
      </c>
      <c r="F8" s="29"/>
      <c r="G8" s="29"/>
      <c r="H8" s="29"/>
      <c r="I8" s="29">
        <v>5</v>
      </c>
      <c r="M8" s="159" t="s">
        <v>173</v>
      </c>
      <c r="N8" s="160"/>
      <c r="O8" s="160"/>
      <c r="P8" s="160"/>
      <c r="Q8" s="160"/>
      <c r="R8" s="160"/>
      <c r="S8" s="160"/>
      <c r="T8" s="160"/>
      <c r="U8" s="160"/>
      <c r="Z8" s="175" t="s">
        <v>71</v>
      </c>
      <c r="AA8" s="172"/>
      <c r="AB8" s="172"/>
      <c r="AC8" s="172"/>
      <c r="AD8" s="172"/>
      <c r="AE8" s="172"/>
      <c r="AF8" s="172"/>
      <c r="AG8" s="172"/>
      <c r="AH8"/>
    </row>
    <row r="9" spans="3:34" x14ac:dyDescent="0.25">
      <c r="C9" s="76" t="s">
        <v>163</v>
      </c>
      <c r="D9" s="29"/>
      <c r="E9" s="29">
        <v>1</v>
      </c>
      <c r="F9" s="29">
        <v>3</v>
      </c>
      <c r="G9" s="29">
        <v>4</v>
      </c>
      <c r="H9" s="29">
        <v>2</v>
      </c>
      <c r="I9" s="29">
        <v>10</v>
      </c>
      <c r="M9" s="77" t="s">
        <v>38</v>
      </c>
      <c r="N9" s="29">
        <v>2</v>
      </c>
      <c r="O9" s="29">
        <v>1</v>
      </c>
      <c r="P9" s="29">
        <v>1</v>
      </c>
      <c r="Q9" s="29">
        <v>1</v>
      </c>
      <c r="R9" s="29"/>
      <c r="S9" s="29"/>
      <c r="T9" s="29"/>
      <c r="U9" s="29">
        <v>5</v>
      </c>
      <c r="Z9" s="173" t="s">
        <v>173</v>
      </c>
      <c r="AA9" s="160">
        <v>2</v>
      </c>
      <c r="AB9" s="160">
        <v>1</v>
      </c>
      <c r="AC9" s="160"/>
      <c r="AD9" s="160"/>
      <c r="AE9" s="160"/>
      <c r="AF9" s="160"/>
      <c r="AG9" s="160">
        <v>3</v>
      </c>
      <c r="AH9"/>
    </row>
    <row r="10" spans="3:34" x14ac:dyDescent="0.25">
      <c r="C10" s="76" t="s">
        <v>164</v>
      </c>
      <c r="D10" s="29"/>
      <c r="E10" s="29">
        <v>1</v>
      </c>
      <c r="F10" s="29">
        <v>5</v>
      </c>
      <c r="G10" s="29">
        <v>1</v>
      </c>
      <c r="H10" s="29">
        <v>2</v>
      </c>
      <c r="I10" s="29">
        <v>9</v>
      </c>
      <c r="M10" s="31" t="s">
        <v>77</v>
      </c>
      <c r="N10" s="29">
        <v>1</v>
      </c>
      <c r="O10" s="29">
        <v>2</v>
      </c>
      <c r="P10" s="29">
        <v>1</v>
      </c>
      <c r="Q10" s="29"/>
      <c r="R10" s="29">
        <v>1</v>
      </c>
      <c r="S10" s="29"/>
      <c r="T10" s="29"/>
      <c r="U10" s="29">
        <v>5</v>
      </c>
      <c r="Z10" s="174" t="s">
        <v>175</v>
      </c>
      <c r="AA10" s="160"/>
      <c r="AB10" s="160">
        <v>1</v>
      </c>
      <c r="AC10" s="160">
        <v>1</v>
      </c>
      <c r="AD10" s="160"/>
      <c r="AE10" s="160"/>
      <c r="AF10" s="160"/>
      <c r="AG10" s="160">
        <v>2</v>
      </c>
      <c r="AH10"/>
    </row>
    <row r="11" spans="3:34" x14ac:dyDescent="0.25">
      <c r="C11" s="76" t="s">
        <v>165</v>
      </c>
      <c r="D11" s="29"/>
      <c r="E11" s="29">
        <v>7</v>
      </c>
      <c r="F11" s="29">
        <v>3</v>
      </c>
      <c r="G11" s="29"/>
      <c r="H11" s="29"/>
      <c r="I11" s="29">
        <v>10</v>
      </c>
      <c r="M11" s="31" t="s">
        <v>78</v>
      </c>
      <c r="N11" s="29">
        <v>1</v>
      </c>
      <c r="O11" s="29">
        <v>1</v>
      </c>
      <c r="P11" s="29">
        <v>2</v>
      </c>
      <c r="Q11" s="29"/>
      <c r="R11" s="29"/>
      <c r="S11" s="29"/>
      <c r="T11" s="29"/>
      <c r="U11" s="29">
        <v>4</v>
      </c>
      <c r="Z11" s="174" t="s">
        <v>172</v>
      </c>
      <c r="AA11" s="160">
        <v>2</v>
      </c>
      <c r="AB11" s="160"/>
      <c r="AC11" s="160"/>
      <c r="AD11" s="160"/>
      <c r="AE11" s="160"/>
      <c r="AF11" s="160">
        <v>1</v>
      </c>
      <c r="AG11" s="160">
        <v>3</v>
      </c>
      <c r="AH11"/>
    </row>
    <row r="12" spans="3:34" x14ac:dyDescent="0.25">
      <c r="C12" s="76" t="s">
        <v>169</v>
      </c>
      <c r="D12" s="29">
        <v>1</v>
      </c>
      <c r="E12" s="29">
        <v>1</v>
      </c>
      <c r="F12" s="29"/>
      <c r="G12" s="29"/>
      <c r="H12" s="29"/>
      <c r="I12" s="29">
        <v>2</v>
      </c>
      <c r="M12" s="31" t="s">
        <v>76</v>
      </c>
      <c r="N12" s="29">
        <v>3</v>
      </c>
      <c r="O12" s="29">
        <v>1</v>
      </c>
      <c r="P12" s="29">
        <v>1</v>
      </c>
      <c r="Q12" s="29"/>
      <c r="R12" s="29"/>
      <c r="S12" s="29">
        <v>1</v>
      </c>
      <c r="T12" s="29"/>
      <c r="U12" s="29">
        <v>6</v>
      </c>
      <c r="Z12" s="174" t="s">
        <v>174</v>
      </c>
      <c r="AA12" s="160">
        <v>2</v>
      </c>
      <c r="AB12" s="160"/>
      <c r="AC12" s="160"/>
      <c r="AD12" s="160"/>
      <c r="AE12" s="160"/>
      <c r="AF12" s="160"/>
      <c r="AG12" s="160">
        <v>2</v>
      </c>
      <c r="AH12"/>
    </row>
    <row r="13" spans="3:34" x14ac:dyDescent="0.25">
      <c r="C13" s="76" t="s">
        <v>166</v>
      </c>
      <c r="D13" s="29"/>
      <c r="E13" s="29">
        <v>8</v>
      </c>
      <c r="F13" s="29">
        <v>1</v>
      </c>
      <c r="G13" s="29">
        <v>1</v>
      </c>
      <c r="H13" s="29"/>
      <c r="I13" s="29">
        <v>10</v>
      </c>
      <c r="M13" s="31" t="s">
        <v>150</v>
      </c>
      <c r="N13" s="29"/>
      <c r="O13" s="29">
        <v>2</v>
      </c>
      <c r="P13" s="29"/>
      <c r="Q13" s="29"/>
      <c r="R13" s="29"/>
      <c r="S13" s="29"/>
      <c r="T13" s="29"/>
      <c r="U13" s="29">
        <v>2</v>
      </c>
      <c r="Z13" s="175" t="s">
        <v>72</v>
      </c>
      <c r="AA13" s="172"/>
      <c r="AB13" s="172"/>
      <c r="AC13" s="172"/>
      <c r="AD13" s="172"/>
      <c r="AE13" s="172"/>
      <c r="AF13" s="172"/>
      <c r="AG13" s="172"/>
      <c r="AH13"/>
    </row>
    <row r="14" spans="3:34" x14ac:dyDescent="0.25">
      <c r="C14" s="77" t="s">
        <v>167</v>
      </c>
      <c r="D14" s="29">
        <v>13</v>
      </c>
      <c r="E14" s="29">
        <v>4</v>
      </c>
      <c r="F14" s="29">
        <v>6</v>
      </c>
      <c r="G14" s="29">
        <v>6</v>
      </c>
      <c r="H14" s="29">
        <v>2</v>
      </c>
      <c r="I14" s="29">
        <v>31</v>
      </c>
      <c r="M14" s="161" t="s">
        <v>175</v>
      </c>
      <c r="N14" s="160"/>
      <c r="O14" s="160"/>
      <c r="P14" s="160"/>
      <c r="Q14" s="160"/>
      <c r="R14" s="160"/>
      <c r="S14" s="160"/>
      <c r="T14" s="160"/>
      <c r="U14" s="160"/>
      <c r="Z14" s="174" t="s">
        <v>175</v>
      </c>
      <c r="AA14" s="160">
        <v>1</v>
      </c>
      <c r="AB14" s="160">
        <v>1</v>
      </c>
      <c r="AC14" s="160"/>
      <c r="AD14" s="160"/>
      <c r="AE14" s="160"/>
      <c r="AF14" s="160"/>
      <c r="AG14" s="160">
        <v>2</v>
      </c>
      <c r="AH14"/>
    </row>
    <row r="15" spans="3:34" x14ac:dyDescent="0.25">
      <c r="C15" s="27" t="s">
        <v>182</v>
      </c>
      <c r="D15" s="29"/>
      <c r="E15" s="29"/>
      <c r="F15" s="29"/>
      <c r="G15" s="29"/>
      <c r="H15" s="29"/>
      <c r="I15" s="29"/>
      <c r="M15" s="77" t="s">
        <v>38</v>
      </c>
      <c r="N15" s="29">
        <v>2</v>
      </c>
      <c r="O15" s="29"/>
      <c r="P15" s="29"/>
      <c r="Q15" s="29"/>
      <c r="R15" s="29"/>
      <c r="S15" s="29"/>
      <c r="T15" s="29"/>
      <c r="U15" s="29">
        <v>2</v>
      </c>
      <c r="Z15" s="174" t="s">
        <v>171</v>
      </c>
      <c r="AA15" s="160">
        <v>1</v>
      </c>
      <c r="AB15" s="160"/>
      <c r="AC15" s="160"/>
      <c r="AD15" s="160"/>
      <c r="AE15" s="160"/>
      <c r="AF15" s="160"/>
      <c r="AG15" s="160">
        <v>1</v>
      </c>
      <c r="AH15"/>
    </row>
    <row r="16" spans="3:34" x14ac:dyDescent="0.25">
      <c r="C16" s="53" t="s">
        <v>30</v>
      </c>
      <c r="D16" s="52">
        <v>14</v>
      </c>
      <c r="E16" s="52">
        <v>27</v>
      </c>
      <c r="F16" s="52">
        <v>18</v>
      </c>
      <c r="G16" s="52">
        <v>12</v>
      </c>
      <c r="H16" s="52">
        <v>6</v>
      </c>
      <c r="I16" s="52">
        <v>77</v>
      </c>
      <c r="M16" s="31" t="s">
        <v>77</v>
      </c>
      <c r="N16" s="29">
        <v>1</v>
      </c>
      <c r="O16" s="29">
        <v>3</v>
      </c>
      <c r="P16" s="29">
        <v>2</v>
      </c>
      <c r="Q16" s="29"/>
      <c r="R16" s="29"/>
      <c r="S16" s="29"/>
      <c r="T16" s="29"/>
      <c r="U16" s="29">
        <v>6</v>
      </c>
      <c r="Z16" s="174" t="s">
        <v>174</v>
      </c>
      <c r="AA16" s="160">
        <v>1</v>
      </c>
      <c r="AB16" s="160"/>
      <c r="AC16" s="160">
        <v>1</v>
      </c>
      <c r="AD16" s="160"/>
      <c r="AE16" s="160"/>
      <c r="AF16" s="160"/>
      <c r="AG16" s="160">
        <v>2</v>
      </c>
      <c r="AH16"/>
    </row>
    <row r="17" spans="3:34" x14ac:dyDescent="0.25">
      <c r="C17"/>
      <c r="D17"/>
      <c r="E17"/>
      <c r="F17"/>
      <c r="G17"/>
      <c r="H17"/>
      <c r="I17"/>
      <c r="M17" s="31" t="s">
        <v>78</v>
      </c>
      <c r="N17" s="29">
        <v>1</v>
      </c>
      <c r="O17" s="29">
        <v>1</v>
      </c>
      <c r="P17" s="29"/>
      <c r="Q17" s="29"/>
      <c r="R17" s="29"/>
      <c r="S17" s="29"/>
      <c r="T17" s="29"/>
      <c r="U17" s="29">
        <v>2</v>
      </c>
      <c r="Z17" s="175" t="s">
        <v>74</v>
      </c>
      <c r="AA17" s="172"/>
      <c r="AB17" s="172"/>
      <c r="AC17" s="172"/>
      <c r="AD17" s="172"/>
      <c r="AE17" s="172"/>
      <c r="AF17" s="172"/>
      <c r="AG17" s="172"/>
      <c r="AH17"/>
    </row>
    <row r="18" spans="3:34" x14ac:dyDescent="0.25">
      <c r="C18"/>
      <c r="D18"/>
      <c r="E18"/>
      <c r="F18"/>
      <c r="G18"/>
      <c r="H18"/>
      <c r="I18"/>
      <c r="M18" s="31" t="s">
        <v>76</v>
      </c>
      <c r="N18" s="29">
        <v>1</v>
      </c>
      <c r="O18" s="29">
        <v>2</v>
      </c>
      <c r="P18" s="29">
        <v>1</v>
      </c>
      <c r="Q18" s="29"/>
      <c r="R18" s="29"/>
      <c r="S18" s="29"/>
      <c r="T18" s="29"/>
      <c r="U18" s="29">
        <v>4</v>
      </c>
      <c r="Z18" s="173" t="s">
        <v>173</v>
      </c>
      <c r="AA18" s="160"/>
      <c r="AB18" s="160">
        <v>1</v>
      </c>
      <c r="AC18" s="160"/>
      <c r="AD18" s="160">
        <v>1</v>
      </c>
      <c r="AE18" s="160"/>
      <c r="AF18" s="160"/>
      <c r="AG18" s="160">
        <v>2</v>
      </c>
      <c r="AH18"/>
    </row>
    <row r="19" spans="3:34" x14ac:dyDescent="0.25">
      <c r="M19" s="31" t="s">
        <v>150</v>
      </c>
      <c r="N19" s="29">
        <v>1</v>
      </c>
      <c r="O19" s="29"/>
      <c r="P19" s="29"/>
      <c r="Q19" s="29"/>
      <c r="R19" s="29"/>
      <c r="S19" s="29"/>
      <c r="T19" s="29"/>
      <c r="U19" s="29">
        <v>1</v>
      </c>
      <c r="Z19" s="174" t="s">
        <v>175</v>
      </c>
      <c r="AA19" s="160">
        <v>2</v>
      </c>
      <c r="AB19" s="160"/>
      <c r="AC19" s="160"/>
      <c r="AD19" s="160"/>
      <c r="AE19" s="160"/>
      <c r="AF19" s="160"/>
      <c r="AG19" s="160">
        <v>2</v>
      </c>
      <c r="AH19"/>
    </row>
    <row r="20" spans="3:34" x14ac:dyDescent="0.25">
      <c r="M20" s="161" t="s">
        <v>171</v>
      </c>
      <c r="N20" s="160"/>
      <c r="O20" s="160"/>
      <c r="P20" s="160"/>
      <c r="Q20" s="160"/>
      <c r="R20" s="160"/>
      <c r="S20" s="160"/>
      <c r="T20" s="160"/>
      <c r="U20" s="160"/>
      <c r="Z20" s="174" t="s">
        <v>171</v>
      </c>
      <c r="AA20" s="160">
        <v>1</v>
      </c>
      <c r="AB20" s="160"/>
      <c r="AC20" s="160"/>
      <c r="AD20" s="160"/>
      <c r="AE20" s="160"/>
      <c r="AF20" s="160"/>
      <c r="AG20" s="160">
        <v>1</v>
      </c>
      <c r="AH20"/>
    </row>
    <row r="21" spans="3:34" x14ac:dyDescent="0.25">
      <c r="M21" s="77" t="s">
        <v>38</v>
      </c>
      <c r="N21" s="29">
        <v>1</v>
      </c>
      <c r="O21" s="29"/>
      <c r="P21" s="29"/>
      <c r="Q21" s="29"/>
      <c r="R21" s="29"/>
      <c r="S21" s="29"/>
      <c r="T21" s="29"/>
      <c r="U21" s="29">
        <v>1</v>
      </c>
      <c r="Z21" s="174" t="s">
        <v>174</v>
      </c>
      <c r="AA21" s="160"/>
      <c r="AB21" s="160"/>
      <c r="AC21" s="160"/>
      <c r="AD21" s="160">
        <v>1</v>
      </c>
      <c r="AE21" s="160"/>
      <c r="AF21" s="160"/>
      <c r="AG21" s="160">
        <v>1</v>
      </c>
      <c r="AH21"/>
    </row>
    <row r="22" spans="3:34" x14ac:dyDescent="0.25">
      <c r="M22" s="31" t="s">
        <v>77</v>
      </c>
      <c r="N22" s="29">
        <v>4</v>
      </c>
      <c r="O22" s="29"/>
      <c r="P22" s="29"/>
      <c r="Q22" s="29"/>
      <c r="R22" s="29"/>
      <c r="S22" s="29"/>
      <c r="T22" s="29"/>
      <c r="U22" s="29">
        <v>4</v>
      </c>
      <c r="Z22" s="175" t="s">
        <v>147</v>
      </c>
      <c r="AA22" s="172"/>
      <c r="AB22" s="172"/>
      <c r="AC22" s="172"/>
      <c r="AD22" s="172"/>
      <c r="AE22" s="172"/>
      <c r="AF22" s="172"/>
      <c r="AG22" s="172"/>
      <c r="AH22"/>
    </row>
    <row r="23" spans="3:34" x14ac:dyDescent="0.25">
      <c r="M23" s="31" t="s">
        <v>78</v>
      </c>
      <c r="N23" s="29"/>
      <c r="O23" s="29">
        <v>1</v>
      </c>
      <c r="P23" s="29"/>
      <c r="Q23" s="29"/>
      <c r="R23" s="29"/>
      <c r="S23" s="29"/>
      <c r="T23" s="29"/>
      <c r="U23" s="29">
        <v>1</v>
      </c>
      <c r="Z23" s="173" t="s">
        <v>173</v>
      </c>
      <c r="AA23" s="160">
        <v>1</v>
      </c>
      <c r="AB23" s="160">
        <v>1</v>
      </c>
      <c r="AC23" s="160"/>
      <c r="AD23" s="160"/>
      <c r="AE23" s="160"/>
      <c r="AF23" s="160"/>
      <c r="AG23" s="160">
        <v>2</v>
      </c>
      <c r="AH23"/>
    </row>
    <row r="24" spans="3:34" x14ac:dyDescent="0.25">
      <c r="C24" s="128" t="s">
        <v>50</v>
      </c>
      <c r="D24" s="128" t="s">
        <v>162</v>
      </c>
      <c r="M24" s="31" t="s">
        <v>76</v>
      </c>
      <c r="N24" s="29"/>
      <c r="O24" s="29">
        <v>1</v>
      </c>
      <c r="P24" s="29">
        <v>1</v>
      </c>
      <c r="Q24" s="29"/>
      <c r="R24" s="29"/>
      <c r="S24" s="29"/>
      <c r="T24" s="29"/>
      <c r="U24" s="29">
        <v>2</v>
      </c>
      <c r="Z24" s="174" t="s">
        <v>175</v>
      </c>
      <c r="AA24" s="160">
        <v>1</v>
      </c>
      <c r="AB24" s="160">
        <v>1</v>
      </c>
      <c r="AC24" s="160"/>
      <c r="AD24" s="160"/>
      <c r="AE24" s="160"/>
      <c r="AF24" s="160"/>
      <c r="AG24" s="160">
        <v>2</v>
      </c>
      <c r="AH24"/>
    </row>
    <row r="25" spans="3:34" x14ac:dyDescent="0.25">
      <c r="C25" s="127"/>
      <c r="M25" s="31" t="s">
        <v>150</v>
      </c>
      <c r="N25" s="29"/>
      <c r="O25" s="29"/>
      <c r="P25" s="29">
        <v>1</v>
      </c>
      <c r="Q25" s="29"/>
      <c r="R25" s="29"/>
      <c r="S25" s="29"/>
      <c r="T25" s="29"/>
      <c r="U25" s="29">
        <v>1</v>
      </c>
      <c r="Z25" s="174" t="s">
        <v>172</v>
      </c>
      <c r="AA25" s="160"/>
      <c r="AB25" s="160">
        <v>1</v>
      </c>
      <c r="AC25" s="160"/>
      <c r="AD25" s="160"/>
      <c r="AE25" s="160"/>
      <c r="AF25" s="160"/>
      <c r="AG25" s="160">
        <v>1</v>
      </c>
      <c r="AH25"/>
    </row>
    <row r="26" spans="3:34" x14ac:dyDescent="0.25">
      <c r="C26" s="128" t="s">
        <v>160</v>
      </c>
      <c r="D26" s="27" t="s">
        <v>42</v>
      </c>
      <c r="E26" s="27"/>
      <c r="F26" s="27"/>
      <c r="G26" s="27"/>
      <c r="H26" s="27"/>
      <c r="I26" s="27"/>
      <c r="M26" s="161" t="s">
        <v>172</v>
      </c>
      <c r="N26" s="160"/>
      <c r="O26" s="160"/>
      <c r="P26" s="160"/>
      <c r="Q26" s="160"/>
      <c r="R26" s="160"/>
      <c r="S26" s="160"/>
      <c r="T26" s="160"/>
      <c r="U26" s="160"/>
      <c r="Z26" s="174" t="s">
        <v>174</v>
      </c>
      <c r="AA26" s="160">
        <v>4</v>
      </c>
      <c r="AB26" s="160">
        <v>1</v>
      </c>
      <c r="AC26" s="160"/>
      <c r="AD26" s="160"/>
      <c r="AE26" s="160"/>
      <c r="AF26" s="160"/>
      <c r="AG26" s="160">
        <v>5</v>
      </c>
      <c r="AH26"/>
    </row>
    <row r="27" spans="3:34" x14ac:dyDescent="0.25">
      <c r="C27" s="128" t="s">
        <v>29</v>
      </c>
      <c r="D27" s="51" t="s">
        <v>38</v>
      </c>
      <c r="E27" s="71" t="s">
        <v>77</v>
      </c>
      <c r="F27" s="78" t="s">
        <v>76</v>
      </c>
      <c r="G27" s="78" t="s">
        <v>78</v>
      </c>
      <c r="H27" s="72" t="s">
        <v>150</v>
      </c>
      <c r="I27" s="54" t="s">
        <v>30</v>
      </c>
      <c r="M27" s="77" t="s">
        <v>38</v>
      </c>
      <c r="N27" s="29"/>
      <c r="O27" s="29">
        <v>1</v>
      </c>
      <c r="P27" s="29"/>
      <c r="Q27" s="29"/>
      <c r="R27" s="29"/>
      <c r="S27" s="29"/>
      <c r="T27" s="29"/>
      <c r="U27" s="29">
        <v>1</v>
      </c>
      <c r="Z27" s="175" t="s">
        <v>73</v>
      </c>
      <c r="AA27" s="172"/>
      <c r="AB27" s="172"/>
      <c r="AC27" s="172"/>
      <c r="AD27" s="172"/>
      <c r="AE27" s="172"/>
      <c r="AF27" s="172"/>
      <c r="AG27" s="172"/>
      <c r="AH27"/>
    </row>
    <row r="28" spans="3:34" x14ac:dyDescent="0.25">
      <c r="C28" s="80" t="s">
        <v>173</v>
      </c>
      <c r="D28" s="30"/>
      <c r="E28" s="30"/>
      <c r="F28" s="30"/>
      <c r="G28" s="30"/>
      <c r="H28" s="30"/>
      <c r="I28" s="30"/>
      <c r="M28" s="31" t="s">
        <v>77</v>
      </c>
      <c r="N28" s="29">
        <v>2</v>
      </c>
      <c r="O28" s="29">
        <v>1</v>
      </c>
      <c r="P28" s="29">
        <v>2</v>
      </c>
      <c r="Q28" s="29"/>
      <c r="R28" s="29"/>
      <c r="S28" s="29"/>
      <c r="T28" s="29"/>
      <c r="U28" s="29">
        <v>5</v>
      </c>
      <c r="Z28" s="173" t="s">
        <v>173</v>
      </c>
      <c r="AA28" s="160">
        <v>2</v>
      </c>
      <c r="AB28" s="160">
        <v>1</v>
      </c>
      <c r="AC28" s="160">
        <v>3</v>
      </c>
      <c r="AD28" s="160"/>
      <c r="AE28" s="160"/>
      <c r="AF28" s="160">
        <v>1</v>
      </c>
      <c r="AG28" s="160">
        <v>7</v>
      </c>
      <c r="AH28"/>
    </row>
    <row r="29" spans="3:34" x14ac:dyDescent="0.25">
      <c r="C29" s="76" t="s">
        <v>163</v>
      </c>
      <c r="D29" s="29"/>
      <c r="E29" s="29">
        <v>1</v>
      </c>
      <c r="F29" s="29">
        <v>2</v>
      </c>
      <c r="G29" s="29">
        <v>2</v>
      </c>
      <c r="H29" s="29"/>
      <c r="I29" s="29">
        <v>5</v>
      </c>
      <c r="M29" s="31" t="s">
        <v>78</v>
      </c>
      <c r="N29" s="29"/>
      <c r="O29" s="29"/>
      <c r="P29" s="29"/>
      <c r="Q29" s="29">
        <v>1</v>
      </c>
      <c r="R29" s="29"/>
      <c r="S29" s="29"/>
      <c r="T29" s="29"/>
      <c r="U29" s="29">
        <v>1</v>
      </c>
      <c r="Z29" s="174" t="s">
        <v>175</v>
      </c>
      <c r="AA29" s="160">
        <v>1</v>
      </c>
      <c r="AB29" s="160">
        <v>2</v>
      </c>
      <c r="AC29" s="160">
        <v>1</v>
      </c>
      <c r="AD29" s="160"/>
      <c r="AE29" s="160"/>
      <c r="AF29" s="160"/>
      <c r="AG29" s="160">
        <v>4</v>
      </c>
      <c r="AH29"/>
    </row>
    <row r="30" spans="3:34" x14ac:dyDescent="0.25">
      <c r="C30" s="76" t="s">
        <v>164</v>
      </c>
      <c r="D30" s="29"/>
      <c r="E30" s="29"/>
      <c r="F30" s="29">
        <v>1</v>
      </c>
      <c r="G30" s="29"/>
      <c r="H30" s="29"/>
      <c r="I30" s="29">
        <v>1</v>
      </c>
      <c r="M30" s="31" t="s">
        <v>76</v>
      </c>
      <c r="N30" s="29">
        <v>1</v>
      </c>
      <c r="O30" s="29"/>
      <c r="P30" s="29"/>
      <c r="Q30" s="29"/>
      <c r="R30" s="29"/>
      <c r="S30" s="29"/>
      <c r="T30" s="29"/>
      <c r="U30" s="29">
        <v>1</v>
      </c>
      <c r="Z30" s="174" t="s">
        <v>171</v>
      </c>
      <c r="AA30" s="160"/>
      <c r="AB30" s="160">
        <v>1</v>
      </c>
      <c r="AC30" s="160">
        <v>1</v>
      </c>
      <c r="AD30" s="160"/>
      <c r="AE30" s="160"/>
      <c r="AF30" s="160"/>
      <c r="AG30" s="160">
        <v>2</v>
      </c>
      <c r="AH30"/>
    </row>
    <row r="31" spans="3:34" x14ac:dyDescent="0.25">
      <c r="C31" s="76" t="s">
        <v>165</v>
      </c>
      <c r="D31" s="29"/>
      <c r="E31" s="29">
        <v>4</v>
      </c>
      <c r="F31" s="29"/>
      <c r="G31" s="29"/>
      <c r="H31" s="29"/>
      <c r="I31" s="29">
        <v>4</v>
      </c>
      <c r="M31" s="31" t="s">
        <v>150</v>
      </c>
      <c r="N31" s="29"/>
      <c r="O31" s="29"/>
      <c r="P31" s="29"/>
      <c r="Q31" s="29"/>
      <c r="R31" s="29"/>
      <c r="S31" s="29">
        <v>1</v>
      </c>
      <c r="T31" s="29"/>
      <c r="U31" s="29">
        <v>1</v>
      </c>
      <c r="Z31" s="174" t="s">
        <v>172</v>
      </c>
      <c r="AA31" s="160">
        <v>1</v>
      </c>
      <c r="AB31" s="160"/>
      <c r="AC31" s="160"/>
      <c r="AD31" s="160"/>
      <c r="AE31" s="160"/>
      <c r="AF31" s="160"/>
      <c r="AG31" s="160">
        <v>1</v>
      </c>
      <c r="AH31"/>
    </row>
    <row r="32" spans="3:34" x14ac:dyDescent="0.25">
      <c r="C32" s="77" t="s">
        <v>167</v>
      </c>
      <c r="D32" s="29">
        <v>5</v>
      </c>
      <c r="E32" s="29"/>
      <c r="F32" s="29">
        <v>3</v>
      </c>
      <c r="G32" s="29">
        <v>2</v>
      </c>
      <c r="H32" s="29">
        <v>2</v>
      </c>
      <c r="I32" s="29">
        <v>12</v>
      </c>
      <c r="M32" s="161" t="s">
        <v>174</v>
      </c>
      <c r="N32" s="160"/>
      <c r="O32" s="160"/>
      <c r="P32" s="160"/>
      <c r="Q32" s="160"/>
      <c r="R32" s="160"/>
      <c r="S32" s="160"/>
      <c r="T32" s="160"/>
      <c r="U32" s="160"/>
      <c r="Z32" s="174" t="s">
        <v>174</v>
      </c>
      <c r="AA32" s="160"/>
      <c r="AB32" s="160"/>
      <c r="AC32" s="160">
        <v>2</v>
      </c>
      <c r="AD32" s="160"/>
      <c r="AE32" s="160">
        <v>1</v>
      </c>
      <c r="AF32" s="160">
        <v>1</v>
      </c>
      <c r="AG32" s="160">
        <v>4</v>
      </c>
      <c r="AH32"/>
    </row>
    <row r="33" spans="3:34" x14ac:dyDescent="0.25">
      <c r="C33" s="27" t="s">
        <v>182</v>
      </c>
      <c r="D33" s="29"/>
      <c r="E33" s="29"/>
      <c r="F33" s="29"/>
      <c r="G33" s="29"/>
      <c r="H33" s="29"/>
      <c r="I33" s="29"/>
      <c r="M33" s="77" t="s">
        <v>38</v>
      </c>
      <c r="N33" s="29">
        <v>1</v>
      </c>
      <c r="O33" s="29">
        <v>1</v>
      </c>
      <c r="P33" s="29">
        <v>2</v>
      </c>
      <c r="Q33" s="29"/>
      <c r="R33" s="29">
        <v>1</v>
      </c>
      <c r="S33" s="29"/>
      <c r="T33" s="29"/>
      <c r="U33" s="29">
        <v>5</v>
      </c>
      <c r="Z33" s="175" t="s">
        <v>70</v>
      </c>
      <c r="AA33" s="172"/>
      <c r="AB33" s="172"/>
      <c r="AC33" s="172"/>
      <c r="AD33" s="172"/>
      <c r="AE33" s="172"/>
      <c r="AF33" s="172"/>
      <c r="AG33" s="172"/>
      <c r="AH33"/>
    </row>
    <row r="34" spans="3:34" x14ac:dyDescent="0.25">
      <c r="C34" s="80" t="s">
        <v>175</v>
      </c>
      <c r="D34" s="30"/>
      <c r="E34" s="30"/>
      <c r="F34" s="30"/>
      <c r="G34" s="30"/>
      <c r="H34" s="30"/>
      <c r="I34" s="30"/>
      <c r="M34" s="31" t="s">
        <v>77</v>
      </c>
      <c r="N34" s="29">
        <v>1</v>
      </c>
      <c r="O34" s="29"/>
      <c r="P34" s="29">
        <v>3</v>
      </c>
      <c r="Q34" s="29">
        <v>1</v>
      </c>
      <c r="R34" s="29">
        <v>1</v>
      </c>
      <c r="S34" s="29">
        <v>1</v>
      </c>
      <c r="T34" s="29"/>
      <c r="U34" s="29">
        <v>7</v>
      </c>
      <c r="Z34" s="173" t="s">
        <v>173</v>
      </c>
      <c r="AA34" s="160"/>
      <c r="AB34" s="160">
        <v>1</v>
      </c>
      <c r="AC34" s="160">
        <v>2</v>
      </c>
      <c r="AD34" s="160"/>
      <c r="AE34" s="160">
        <v>1</v>
      </c>
      <c r="AF34" s="160"/>
      <c r="AG34" s="160">
        <v>4</v>
      </c>
      <c r="AH34"/>
    </row>
    <row r="35" spans="3:34" x14ac:dyDescent="0.25">
      <c r="C35" s="76" t="s">
        <v>163</v>
      </c>
      <c r="D35" s="29"/>
      <c r="E35" s="29"/>
      <c r="F35" s="29">
        <v>1</v>
      </c>
      <c r="G35" s="29">
        <v>2</v>
      </c>
      <c r="H35" s="29">
        <v>1</v>
      </c>
      <c r="I35" s="29">
        <v>4</v>
      </c>
      <c r="M35" s="31" t="s">
        <v>78</v>
      </c>
      <c r="N35" s="29">
        <v>2</v>
      </c>
      <c r="O35" s="29">
        <v>1</v>
      </c>
      <c r="P35" s="29">
        <v>1</v>
      </c>
      <c r="Q35" s="29"/>
      <c r="R35" s="29"/>
      <c r="S35" s="29"/>
      <c r="T35" s="29"/>
      <c r="U35" s="29">
        <v>4</v>
      </c>
      <c r="Z35" s="174" t="s">
        <v>175</v>
      </c>
      <c r="AA35" s="160"/>
      <c r="AB35" s="160">
        <v>1</v>
      </c>
      <c r="AC35" s="160">
        <v>1</v>
      </c>
      <c r="AD35" s="160"/>
      <c r="AE35" s="160"/>
      <c r="AF35" s="160"/>
      <c r="AG35" s="160">
        <v>2</v>
      </c>
      <c r="AH35"/>
    </row>
    <row r="36" spans="3:34" x14ac:dyDescent="0.25">
      <c r="C36" s="76" t="s">
        <v>164</v>
      </c>
      <c r="D36" s="29"/>
      <c r="E36" s="29"/>
      <c r="F36" s="29">
        <v>2</v>
      </c>
      <c r="G36" s="29"/>
      <c r="H36" s="29"/>
      <c r="I36" s="29">
        <v>2</v>
      </c>
      <c r="M36" s="31" t="s">
        <v>76</v>
      </c>
      <c r="N36" s="29">
        <v>2</v>
      </c>
      <c r="O36" s="29">
        <v>1</v>
      </c>
      <c r="P36" s="29"/>
      <c r="Q36" s="29"/>
      <c r="R36" s="29">
        <v>1</v>
      </c>
      <c r="S36" s="29">
        <v>1</v>
      </c>
      <c r="T36" s="29"/>
      <c r="U36" s="29">
        <v>5</v>
      </c>
      <c r="Z36" s="174" t="s">
        <v>171</v>
      </c>
      <c r="AA36" s="160">
        <v>3</v>
      </c>
      <c r="AB36" s="160"/>
      <c r="AC36" s="160"/>
      <c r="AD36" s="160"/>
      <c r="AE36" s="160"/>
      <c r="AF36" s="160"/>
      <c r="AG36" s="160">
        <v>3</v>
      </c>
      <c r="AH36"/>
    </row>
    <row r="37" spans="3:34" x14ac:dyDescent="0.25">
      <c r="C37" s="76" t="s">
        <v>165</v>
      </c>
      <c r="D37" s="29"/>
      <c r="E37" s="29">
        <v>2</v>
      </c>
      <c r="F37" s="29"/>
      <c r="G37" s="29"/>
      <c r="H37" s="29"/>
      <c r="I37" s="29">
        <v>2</v>
      </c>
      <c r="M37" s="31" t="s">
        <v>150</v>
      </c>
      <c r="N37" s="29">
        <v>1</v>
      </c>
      <c r="O37" s="29"/>
      <c r="P37" s="29"/>
      <c r="Q37" s="29"/>
      <c r="R37" s="29"/>
      <c r="S37" s="29"/>
      <c r="T37" s="29"/>
      <c r="U37" s="29">
        <v>1</v>
      </c>
      <c r="Z37" s="174" t="s">
        <v>172</v>
      </c>
      <c r="AA37" s="160"/>
      <c r="AB37" s="160">
        <v>1</v>
      </c>
      <c r="AC37" s="160">
        <v>2</v>
      </c>
      <c r="AD37" s="160"/>
      <c r="AE37" s="160"/>
      <c r="AF37" s="160"/>
      <c r="AG37" s="160">
        <v>3</v>
      </c>
      <c r="AH37"/>
    </row>
    <row r="38" spans="3:34" x14ac:dyDescent="0.25">
      <c r="C38" s="76" t="s">
        <v>169</v>
      </c>
      <c r="D38" s="29"/>
      <c r="E38" s="29">
        <v>1</v>
      </c>
      <c r="F38" s="29"/>
      <c r="G38" s="29"/>
      <c r="H38" s="29"/>
      <c r="I38" s="29">
        <v>1</v>
      </c>
      <c r="M38" s="53" t="s">
        <v>30</v>
      </c>
      <c r="N38" s="52">
        <v>28</v>
      </c>
      <c r="O38" s="52">
        <v>20</v>
      </c>
      <c r="P38" s="52">
        <v>18</v>
      </c>
      <c r="Q38" s="52">
        <v>3</v>
      </c>
      <c r="R38" s="52">
        <v>4</v>
      </c>
      <c r="S38" s="52">
        <v>4</v>
      </c>
      <c r="T38" s="52"/>
      <c r="U38" s="52">
        <v>77</v>
      </c>
      <c r="Z38" s="174" t="s">
        <v>174</v>
      </c>
      <c r="AA38" s="160"/>
      <c r="AB38" s="160"/>
      <c r="AC38" s="160">
        <v>2</v>
      </c>
      <c r="AD38" s="160"/>
      <c r="AE38" s="160">
        <v>1</v>
      </c>
      <c r="AF38" s="160">
        <v>1</v>
      </c>
      <c r="AG38" s="160">
        <v>4</v>
      </c>
      <c r="AH38"/>
    </row>
    <row r="39" spans="3:34" x14ac:dyDescent="0.25">
      <c r="C39" s="76" t="s">
        <v>166</v>
      </c>
      <c r="D39" s="29"/>
      <c r="E39" s="29">
        <v>2</v>
      </c>
      <c r="F39" s="29">
        <v>1</v>
      </c>
      <c r="G39" s="29"/>
      <c r="H39" s="29"/>
      <c r="I39" s="29">
        <v>3</v>
      </c>
      <c r="Z39" s="175" t="s">
        <v>148</v>
      </c>
      <c r="AA39" s="172"/>
      <c r="AB39" s="172"/>
      <c r="AC39" s="172"/>
      <c r="AD39" s="172"/>
      <c r="AE39" s="172"/>
      <c r="AF39" s="172"/>
      <c r="AG39" s="172"/>
      <c r="AH39"/>
    </row>
    <row r="40" spans="3:34" x14ac:dyDescent="0.25">
      <c r="C40" s="77" t="s">
        <v>167</v>
      </c>
      <c r="D40" s="29">
        <v>2</v>
      </c>
      <c r="E40" s="29">
        <v>1</v>
      </c>
      <c r="F40" s="29"/>
      <c r="G40" s="29"/>
      <c r="H40" s="29"/>
      <c r="I40" s="29">
        <v>3</v>
      </c>
      <c r="Z40" s="173" t="s">
        <v>173</v>
      </c>
      <c r="AA40" s="160">
        <v>2</v>
      </c>
      <c r="AB40" s="160">
        <v>2</v>
      </c>
      <c r="AC40" s="160"/>
      <c r="AD40" s="160"/>
      <c r="AE40" s="160"/>
      <c r="AF40" s="160"/>
      <c r="AG40" s="160">
        <v>4</v>
      </c>
      <c r="AH40"/>
    </row>
    <row r="41" spans="3:34" x14ac:dyDescent="0.25">
      <c r="C41" s="80" t="s">
        <v>171</v>
      </c>
      <c r="D41" s="30"/>
      <c r="E41" s="30"/>
      <c r="F41" s="30"/>
      <c r="G41" s="30"/>
      <c r="H41" s="30"/>
      <c r="I41" s="30"/>
      <c r="Z41" s="174" t="s">
        <v>175</v>
      </c>
      <c r="AA41" s="160">
        <v>1</v>
      </c>
      <c r="AB41" s="160"/>
      <c r="AC41" s="160"/>
      <c r="AD41" s="160"/>
      <c r="AE41" s="160"/>
      <c r="AF41" s="160"/>
      <c r="AG41" s="160">
        <v>1</v>
      </c>
      <c r="AH41"/>
    </row>
    <row r="42" spans="3:34" x14ac:dyDescent="0.25">
      <c r="C42" s="79" t="s">
        <v>170</v>
      </c>
      <c r="D42" s="29"/>
      <c r="E42" s="29">
        <v>1</v>
      </c>
      <c r="F42" s="29"/>
      <c r="G42" s="29"/>
      <c r="H42" s="29"/>
      <c r="I42" s="29">
        <v>1</v>
      </c>
      <c r="Z42" s="174" t="s">
        <v>171</v>
      </c>
      <c r="AA42" s="160"/>
      <c r="AB42" s="160">
        <v>1</v>
      </c>
      <c r="AC42" s="160">
        <v>1</v>
      </c>
      <c r="AD42" s="160"/>
      <c r="AE42" s="160"/>
      <c r="AF42" s="160"/>
      <c r="AG42" s="160">
        <v>2</v>
      </c>
      <c r="AH42"/>
    </row>
    <row r="43" spans="3:34" x14ac:dyDescent="0.25">
      <c r="C43" s="76" t="s">
        <v>164</v>
      </c>
      <c r="D43" s="29"/>
      <c r="E43" s="29"/>
      <c r="F43" s="29"/>
      <c r="G43" s="29"/>
      <c r="H43" s="29">
        <v>1</v>
      </c>
      <c r="I43" s="29">
        <v>1</v>
      </c>
      <c r="Z43" s="174" t="s">
        <v>172</v>
      </c>
      <c r="AA43" s="160"/>
      <c r="AB43" s="160"/>
      <c r="AC43" s="160"/>
      <c r="AD43" s="160">
        <v>1</v>
      </c>
      <c r="AE43" s="160"/>
      <c r="AF43" s="160"/>
      <c r="AG43" s="160">
        <v>1</v>
      </c>
      <c r="AH43"/>
    </row>
    <row r="44" spans="3:34" x14ac:dyDescent="0.25">
      <c r="C44" s="76" t="s">
        <v>165</v>
      </c>
      <c r="D44" s="29"/>
      <c r="E44" s="29"/>
      <c r="F44" s="29">
        <v>1</v>
      </c>
      <c r="G44" s="29"/>
      <c r="H44" s="29"/>
      <c r="I44" s="29">
        <v>1</v>
      </c>
      <c r="Z44" s="174" t="s">
        <v>174</v>
      </c>
      <c r="AA44" s="160"/>
      <c r="AB44" s="160">
        <v>2</v>
      </c>
      <c r="AC44" s="160">
        <v>1</v>
      </c>
      <c r="AD44" s="160"/>
      <c r="AE44" s="160">
        <v>1</v>
      </c>
      <c r="AF44" s="160"/>
      <c r="AG44" s="160">
        <v>4</v>
      </c>
      <c r="AH44"/>
    </row>
    <row r="45" spans="3:34" x14ac:dyDescent="0.25">
      <c r="C45" s="76" t="s">
        <v>166</v>
      </c>
      <c r="D45" s="29"/>
      <c r="E45" s="29">
        <v>3</v>
      </c>
      <c r="F45" s="29"/>
      <c r="G45" s="29"/>
      <c r="H45" s="29"/>
      <c r="I45" s="29">
        <v>3</v>
      </c>
      <c r="Z45" s="53" t="s">
        <v>30</v>
      </c>
      <c r="AA45" s="52">
        <v>28</v>
      </c>
      <c r="AB45" s="52">
        <v>20</v>
      </c>
      <c r="AC45" s="52">
        <v>18</v>
      </c>
      <c r="AD45" s="52">
        <v>3</v>
      </c>
      <c r="AE45" s="52">
        <v>4</v>
      </c>
      <c r="AF45" s="52">
        <v>4</v>
      </c>
      <c r="AG45" s="52">
        <v>77</v>
      </c>
      <c r="AH45"/>
    </row>
    <row r="46" spans="3:34" x14ac:dyDescent="0.25">
      <c r="C46" s="77" t="s">
        <v>167</v>
      </c>
      <c r="D46" s="29">
        <v>1</v>
      </c>
      <c r="E46" s="29"/>
      <c r="F46" s="29">
        <v>1</v>
      </c>
      <c r="G46" s="29">
        <v>1</v>
      </c>
      <c r="H46" s="29"/>
      <c r="I46" s="29">
        <v>3</v>
      </c>
    </row>
    <row r="47" spans="3:34" x14ac:dyDescent="0.25">
      <c r="C47" s="27" t="s">
        <v>182</v>
      </c>
      <c r="D47" s="29"/>
      <c r="E47" s="29"/>
      <c r="F47" s="29"/>
      <c r="G47" s="29"/>
      <c r="H47" s="29"/>
      <c r="I47" s="29"/>
    </row>
    <row r="48" spans="3:34" x14ac:dyDescent="0.25">
      <c r="C48" s="80" t="s">
        <v>172</v>
      </c>
      <c r="D48" s="30"/>
      <c r="E48" s="30"/>
      <c r="F48" s="30"/>
      <c r="G48" s="30"/>
      <c r="H48" s="30"/>
      <c r="I48" s="30"/>
    </row>
    <row r="49" spans="3:9" x14ac:dyDescent="0.25">
      <c r="C49" s="79" t="s">
        <v>170</v>
      </c>
      <c r="D49" s="29"/>
      <c r="E49" s="29">
        <v>1</v>
      </c>
      <c r="F49" s="29"/>
      <c r="G49" s="29"/>
      <c r="H49" s="29"/>
      <c r="I49" s="29">
        <v>1</v>
      </c>
    </row>
    <row r="50" spans="3:9" x14ac:dyDescent="0.25">
      <c r="C50" s="76" t="s">
        <v>164</v>
      </c>
      <c r="D50" s="29"/>
      <c r="E50" s="29">
        <v>1</v>
      </c>
      <c r="F50" s="29"/>
      <c r="G50" s="29"/>
      <c r="H50" s="29">
        <v>1</v>
      </c>
      <c r="I50" s="29">
        <v>2</v>
      </c>
    </row>
    <row r="51" spans="3:9" x14ac:dyDescent="0.25">
      <c r="C51" s="76" t="s">
        <v>166</v>
      </c>
      <c r="D51" s="29"/>
      <c r="E51" s="29">
        <v>2</v>
      </c>
      <c r="F51" s="29"/>
      <c r="G51" s="29"/>
      <c r="H51" s="29"/>
      <c r="I51" s="29">
        <v>2</v>
      </c>
    </row>
    <row r="52" spans="3:9" x14ac:dyDescent="0.25">
      <c r="C52" s="77" t="s">
        <v>167</v>
      </c>
      <c r="D52" s="29">
        <v>1</v>
      </c>
      <c r="E52" s="29">
        <v>1</v>
      </c>
      <c r="F52" s="29">
        <v>1</v>
      </c>
      <c r="G52" s="29">
        <v>1</v>
      </c>
      <c r="H52" s="29"/>
      <c r="I52" s="29">
        <v>4</v>
      </c>
    </row>
    <row r="53" spans="3:9" x14ac:dyDescent="0.25">
      <c r="C53" s="27" t="s">
        <v>182</v>
      </c>
      <c r="D53" s="29"/>
      <c r="E53" s="29"/>
      <c r="F53" s="29"/>
      <c r="G53" s="29"/>
      <c r="H53" s="29"/>
      <c r="I53" s="29"/>
    </row>
    <row r="54" spans="3:9" x14ac:dyDescent="0.25">
      <c r="C54" s="80" t="s">
        <v>174</v>
      </c>
      <c r="D54" s="30"/>
      <c r="E54" s="30"/>
      <c r="F54" s="30"/>
      <c r="G54" s="30"/>
      <c r="H54" s="30"/>
      <c r="I54" s="30"/>
    </row>
    <row r="55" spans="3:9" x14ac:dyDescent="0.25">
      <c r="C55" s="79" t="s">
        <v>170</v>
      </c>
      <c r="D55" s="29"/>
      <c r="E55" s="29">
        <v>3</v>
      </c>
      <c r="F55" s="29"/>
      <c r="G55" s="29"/>
      <c r="H55" s="29"/>
      <c r="I55" s="29">
        <v>3</v>
      </c>
    </row>
    <row r="56" spans="3:9" x14ac:dyDescent="0.25">
      <c r="C56" s="76" t="s">
        <v>163</v>
      </c>
      <c r="D56" s="29"/>
      <c r="E56" s="29"/>
      <c r="F56" s="29"/>
      <c r="G56" s="29"/>
      <c r="H56" s="29">
        <v>1</v>
      </c>
      <c r="I56" s="29">
        <v>1</v>
      </c>
    </row>
    <row r="57" spans="3:9" x14ac:dyDescent="0.25">
      <c r="C57" s="76" t="s">
        <v>164</v>
      </c>
      <c r="D57" s="29"/>
      <c r="E57" s="29"/>
      <c r="F57" s="29">
        <v>2</v>
      </c>
      <c r="G57" s="29">
        <v>1</v>
      </c>
      <c r="H57" s="29"/>
      <c r="I57" s="29">
        <v>3</v>
      </c>
    </row>
    <row r="58" spans="3:9" x14ac:dyDescent="0.25">
      <c r="C58" s="76" t="s">
        <v>165</v>
      </c>
      <c r="D58" s="29"/>
      <c r="E58" s="29">
        <v>1</v>
      </c>
      <c r="F58" s="29">
        <v>2</v>
      </c>
      <c r="G58" s="29"/>
      <c r="H58" s="29"/>
      <c r="I58" s="29">
        <v>3</v>
      </c>
    </row>
    <row r="59" spans="3:9" x14ac:dyDescent="0.25">
      <c r="C59" s="76" t="s">
        <v>169</v>
      </c>
      <c r="D59" s="29">
        <v>1</v>
      </c>
      <c r="E59" s="29"/>
      <c r="F59" s="29"/>
      <c r="G59" s="29"/>
      <c r="H59" s="29"/>
      <c r="I59" s="29">
        <v>1</v>
      </c>
    </row>
    <row r="60" spans="3:9" x14ac:dyDescent="0.25">
      <c r="C60" s="76" t="s">
        <v>166</v>
      </c>
      <c r="D60" s="29"/>
      <c r="E60" s="29">
        <v>1</v>
      </c>
      <c r="F60" s="29"/>
      <c r="G60" s="29">
        <v>1</v>
      </c>
      <c r="H60" s="29"/>
      <c r="I60" s="29">
        <v>2</v>
      </c>
    </row>
    <row r="61" spans="3:9" x14ac:dyDescent="0.25">
      <c r="C61" s="77" t="s">
        <v>167</v>
      </c>
      <c r="D61" s="29">
        <v>4</v>
      </c>
      <c r="E61" s="29">
        <v>2</v>
      </c>
      <c r="F61" s="29">
        <v>1</v>
      </c>
      <c r="G61" s="29">
        <v>2</v>
      </c>
      <c r="H61" s="29"/>
      <c r="I61" s="29">
        <v>9</v>
      </c>
    </row>
    <row r="62" spans="3:9" x14ac:dyDescent="0.25">
      <c r="C62" s="27" t="s">
        <v>182</v>
      </c>
      <c r="D62" s="29"/>
      <c r="E62" s="29"/>
      <c r="F62" s="29"/>
      <c r="G62" s="29"/>
      <c r="H62" s="29"/>
      <c r="I62" s="29"/>
    </row>
    <row r="63" spans="3:9" x14ac:dyDescent="0.25">
      <c r="C63" s="53" t="s">
        <v>30</v>
      </c>
      <c r="D63" s="52">
        <v>14</v>
      </c>
      <c r="E63" s="52">
        <v>27</v>
      </c>
      <c r="F63" s="52">
        <v>18</v>
      </c>
      <c r="G63" s="52">
        <v>12</v>
      </c>
      <c r="H63" s="52">
        <v>6</v>
      </c>
      <c r="I63" s="52">
        <v>77</v>
      </c>
    </row>
    <row r="64" spans="3:9" x14ac:dyDescent="0.25">
      <c r="C64"/>
      <c r="D64"/>
      <c r="E64"/>
      <c r="F64"/>
      <c r="G64"/>
      <c r="H64"/>
      <c r="I64"/>
    </row>
  </sheetData>
  <pageMargins left="0.7" right="0.7" top="0.75" bottom="0.75" header="0.3" footer="0.3"/>
  <pageSetup orientation="portrait" verticalDpi="0" r:id="rId5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5"/>
  <sheetViews>
    <sheetView topLeftCell="A4" workbookViewId="0">
      <selection activeCell="A6" sqref="A6"/>
    </sheetView>
  </sheetViews>
  <sheetFormatPr baseColWidth="10" defaultRowHeight="15" x14ac:dyDescent="0.25"/>
  <cols>
    <col min="1" max="2" width="11.42578125" style="1"/>
    <col min="3" max="3" width="19.85546875" style="1" bestFit="1" customWidth="1"/>
    <col min="4" max="4" width="14.85546875" style="1" customWidth="1"/>
    <col min="5" max="6" width="14.28515625" style="1" customWidth="1"/>
    <col min="7" max="9" width="14.5703125" style="1" customWidth="1"/>
    <col min="10" max="13" width="11.42578125" style="1"/>
    <col min="14" max="14" width="19.85546875" style="1" bestFit="1" customWidth="1"/>
    <col min="15" max="15" width="18.42578125" style="1" customWidth="1"/>
    <col min="16" max="16" width="13.28515625" style="1" customWidth="1"/>
    <col min="17" max="17" width="14" style="1" bestFit="1" customWidth="1"/>
    <col min="18" max="18" width="11.5703125" style="1" bestFit="1" customWidth="1"/>
    <col min="19" max="19" width="11.85546875" style="1" bestFit="1" customWidth="1"/>
    <col min="20" max="20" width="12.5703125" style="1" bestFit="1" customWidth="1"/>
    <col min="21" max="22" width="9.85546875" style="1" customWidth="1"/>
    <col min="23" max="23" width="12.5703125" style="1" bestFit="1" customWidth="1"/>
    <col min="24" max="16384" width="11.42578125" style="1"/>
  </cols>
  <sheetData>
    <row r="3" spans="1:17" ht="26.25" x14ac:dyDescent="0.4">
      <c r="D3" s="138" t="s">
        <v>345</v>
      </c>
    </row>
    <row r="6" spans="1:17" x14ac:dyDescent="0.25">
      <c r="A6" s="149"/>
      <c r="B6" s="149"/>
      <c r="C6" s="36" t="s">
        <v>29</v>
      </c>
      <c r="D6" s="36" t="s">
        <v>183</v>
      </c>
      <c r="E6" s="36" t="s">
        <v>189</v>
      </c>
      <c r="F6" s="36" t="s">
        <v>343</v>
      </c>
      <c r="G6" s="36" t="s">
        <v>344</v>
      </c>
      <c r="H6" s="36" t="s">
        <v>348</v>
      </c>
      <c r="I6" s="36" t="s">
        <v>349</v>
      </c>
      <c r="J6" s="149"/>
      <c r="N6" s="36" t="s">
        <v>183</v>
      </c>
      <c r="O6" s="27" t="s">
        <v>42</v>
      </c>
      <c r="P6" s="27"/>
      <c r="Q6" s="27"/>
    </row>
    <row r="7" spans="1:17" x14ac:dyDescent="0.25">
      <c r="C7" s="85" t="s">
        <v>176</v>
      </c>
      <c r="D7" s="150">
        <v>66</v>
      </c>
      <c r="E7" s="151">
        <v>38413831.79999999</v>
      </c>
      <c r="F7" s="151">
        <v>12607284.982999999</v>
      </c>
      <c r="G7" s="151">
        <v>22322605.151000008</v>
      </c>
      <c r="H7" s="151">
        <v>4840006.1339999996</v>
      </c>
      <c r="I7" s="151">
        <v>7767278.8490000004</v>
      </c>
      <c r="N7" s="36" t="s">
        <v>29</v>
      </c>
      <c r="O7" s="84" t="s">
        <v>33</v>
      </c>
      <c r="P7" s="85" t="s">
        <v>34</v>
      </c>
      <c r="Q7" s="54" t="s">
        <v>30</v>
      </c>
    </row>
    <row r="8" spans="1:17" x14ac:dyDescent="0.25">
      <c r="C8" s="77" t="s">
        <v>335</v>
      </c>
      <c r="D8" s="29">
        <v>28</v>
      </c>
      <c r="E8" s="40">
        <v>16522654.100000001</v>
      </c>
      <c r="F8" s="40">
        <v>48125.595000000001</v>
      </c>
      <c r="G8" s="40">
        <v>15560142.200000001</v>
      </c>
      <c r="H8" s="40">
        <v>48125.595000000001</v>
      </c>
      <c r="I8" s="40">
        <v>0</v>
      </c>
      <c r="N8" s="77" t="s">
        <v>40</v>
      </c>
      <c r="O8" s="29">
        <v>2</v>
      </c>
      <c r="P8" s="29">
        <v>1</v>
      </c>
      <c r="Q8" s="29">
        <v>3</v>
      </c>
    </row>
    <row r="9" spans="1:17" x14ac:dyDescent="0.25">
      <c r="C9" s="31" t="s">
        <v>333</v>
      </c>
      <c r="D9" s="29">
        <v>2</v>
      </c>
      <c r="E9" s="40">
        <v>1133342.3999999999</v>
      </c>
      <c r="F9" s="40">
        <v>226668.48</v>
      </c>
      <c r="G9" s="40">
        <v>0</v>
      </c>
      <c r="H9" s="40">
        <v>226668.48</v>
      </c>
      <c r="I9" s="40">
        <v>0</v>
      </c>
      <c r="N9" s="31" t="s">
        <v>60</v>
      </c>
      <c r="O9" s="29">
        <v>10</v>
      </c>
      <c r="P9" s="29">
        <v>1</v>
      </c>
      <c r="Q9" s="29">
        <v>11</v>
      </c>
    </row>
    <row r="10" spans="1:17" x14ac:dyDescent="0.25">
      <c r="C10" s="31" t="s">
        <v>340</v>
      </c>
      <c r="D10" s="29">
        <v>1</v>
      </c>
      <c r="E10" s="40">
        <v>563000</v>
      </c>
      <c r="F10" s="40">
        <v>168900</v>
      </c>
      <c r="G10" s="40">
        <v>394100</v>
      </c>
      <c r="H10" s="40">
        <v>0</v>
      </c>
      <c r="I10" s="40">
        <v>168900</v>
      </c>
      <c r="N10" s="31" t="s">
        <v>39</v>
      </c>
      <c r="O10" s="29">
        <v>2</v>
      </c>
      <c r="P10" s="29">
        <v>1</v>
      </c>
      <c r="Q10" s="29">
        <v>3</v>
      </c>
    </row>
    <row r="11" spans="1:17" x14ac:dyDescent="0.25">
      <c r="C11" s="31" t="s">
        <v>336</v>
      </c>
      <c r="D11" s="29">
        <v>17</v>
      </c>
      <c r="E11" s="40">
        <v>9975292.5</v>
      </c>
      <c r="F11" s="40">
        <v>4788140.4000000004</v>
      </c>
      <c r="G11" s="40">
        <v>4591698.7479999997</v>
      </c>
      <c r="H11" s="40">
        <v>549649.24800000002</v>
      </c>
      <c r="I11" s="40">
        <v>4238491.1519999998</v>
      </c>
      <c r="N11" s="31" t="s">
        <v>59</v>
      </c>
      <c r="O11" s="29"/>
      <c r="P11" s="29">
        <v>4</v>
      </c>
      <c r="Q11" s="29">
        <v>4</v>
      </c>
    </row>
    <row r="12" spans="1:17" x14ac:dyDescent="0.25">
      <c r="C12" s="31" t="s">
        <v>334</v>
      </c>
      <c r="D12" s="29">
        <v>8</v>
      </c>
      <c r="E12" s="40">
        <v>4573551.9000000004</v>
      </c>
      <c r="F12" s="40">
        <v>2881337.6970000002</v>
      </c>
      <c r="G12" s="40">
        <v>1692214.203</v>
      </c>
      <c r="H12" s="40">
        <v>0</v>
      </c>
      <c r="I12" s="40">
        <v>2881337.6970000002</v>
      </c>
      <c r="N12" s="31" t="s">
        <v>58</v>
      </c>
      <c r="O12" s="29">
        <v>1</v>
      </c>
      <c r="P12" s="29">
        <v>211</v>
      </c>
      <c r="Q12" s="29">
        <v>212</v>
      </c>
    </row>
    <row r="13" spans="1:17" x14ac:dyDescent="0.25">
      <c r="C13" s="31" t="s">
        <v>337</v>
      </c>
      <c r="D13" s="29">
        <v>9</v>
      </c>
      <c r="E13" s="40">
        <v>5082990.9000000004</v>
      </c>
      <c r="F13" s="40">
        <v>4015562.8110000002</v>
      </c>
      <c r="G13" s="40">
        <v>0</v>
      </c>
      <c r="H13" s="40">
        <v>4015562.8110000002</v>
      </c>
      <c r="I13" s="40">
        <v>0</v>
      </c>
      <c r="N13" s="53" t="s">
        <v>30</v>
      </c>
      <c r="O13" s="52">
        <v>15</v>
      </c>
      <c r="P13" s="52">
        <v>218</v>
      </c>
      <c r="Q13" s="52">
        <v>233</v>
      </c>
    </row>
    <row r="14" spans="1:17" x14ac:dyDescent="0.25">
      <c r="C14" s="31" t="s">
        <v>338</v>
      </c>
      <c r="D14" s="29">
        <v>1</v>
      </c>
      <c r="E14" s="40">
        <v>563000</v>
      </c>
      <c r="F14" s="40">
        <v>478550</v>
      </c>
      <c r="G14" s="40">
        <v>84450</v>
      </c>
      <c r="H14" s="40">
        <v>0</v>
      </c>
      <c r="I14" s="40">
        <v>478550</v>
      </c>
    </row>
    <row r="15" spans="1:17" x14ac:dyDescent="0.25">
      <c r="C15" s="85" t="s">
        <v>177</v>
      </c>
      <c r="D15" s="150">
        <v>83</v>
      </c>
      <c r="E15" s="151">
        <v>47377665.800000004</v>
      </c>
      <c r="F15" s="151">
        <v>23937444.830999997</v>
      </c>
      <c r="G15" s="151">
        <v>23440220.968999997</v>
      </c>
      <c r="H15" s="151">
        <v>0</v>
      </c>
      <c r="I15" s="151">
        <v>23937444.830999997</v>
      </c>
    </row>
    <row r="16" spans="1:17" x14ac:dyDescent="0.25">
      <c r="C16" s="77" t="s">
        <v>335</v>
      </c>
      <c r="D16" s="29">
        <v>21</v>
      </c>
      <c r="E16" s="40">
        <v>11992463.6</v>
      </c>
      <c r="F16" s="40">
        <v>314422.86499999999</v>
      </c>
      <c r="G16" s="40">
        <v>11678040.735000003</v>
      </c>
      <c r="H16" s="40">
        <v>0</v>
      </c>
      <c r="I16" s="40">
        <v>314422.86499999999</v>
      </c>
    </row>
    <row r="17" spans="3:17" x14ac:dyDescent="0.25">
      <c r="C17" s="31" t="s">
        <v>333</v>
      </c>
      <c r="D17" s="29">
        <v>9</v>
      </c>
      <c r="E17" s="40">
        <v>5083578</v>
      </c>
      <c r="F17" s="40">
        <v>1016715.6</v>
      </c>
      <c r="G17" s="40">
        <v>4066862.4</v>
      </c>
      <c r="H17" s="40">
        <v>0</v>
      </c>
      <c r="I17" s="40">
        <v>1016715.6</v>
      </c>
    </row>
    <row r="18" spans="3:17" x14ac:dyDescent="0.25">
      <c r="C18" s="31" t="s">
        <v>340</v>
      </c>
      <c r="D18" s="29">
        <v>1</v>
      </c>
      <c r="E18" s="40">
        <v>567500</v>
      </c>
      <c r="F18" s="40">
        <v>170250</v>
      </c>
      <c r="G18" s="40">
        <v>397250</v>
      </c>
      <c r="H18" s="40">
        <v>0</v>
      </c>
      <c r="I18" s="40">
        <v>170250</v>
      </c>
      <c r="N18" s="36" t="s">
        <v>189</v>
      </c>
      <c r="O18" s="27" t="s">
        <v>42</v>
      </c>
      <c r="P18" s="27"/>
      <c r="Q18" s="27"/>
    </row>
    <row r="19" spans="3:17" x14ac:dyDescent="0.25">
      <c r="C19" s="31" t="s">
        <v>341</v>
      </c>
      <c r="D19" s="29">
        <v>11</v>
      </c>
      <c r="E19" s="40">
        <v>6292158.5</v>
      </c>
      <c r="F19" s="40">
        <v>2516863.4000000004</v>
      </c>
      <c r="G19" s="40">
        <v>3775295.1</v>
      </c>
      <c r="H19" s="40">
        <v>0</v>
      </c>
      <c r="I19" s="40">
        <v>2516863.4000000004</v>
      </c>
      <c r="N19" s="36" t="s">
        <v>29</v>
      </c>
      <c r="O19" s="84" t="s">
        <v>33</v>
      </c>
      <c r="P19" s="85" t="s">
        <v>34</v>
      </c>
      <c r="Q19" s="54" t="s">
        <v>30</v>
      </c>
    </row>
    <row r="20" spans="3:17" x14ac:dyDescent="0.25">
      <c r="C20" s="31" t="s">
        <v>334</v>
      </c>
      <c r="D20" s="29">
        <v>13</v>
      </c>
      <c r="E20" s="40">
        <v>7553405.0999999996</v>
      </c>
      <c r="F20" s="40">
        <v>4758645.2129999995</v>
      </c>
      <c r="G20" s="40">
        <v>2794759.8870000001</v>
      </c>
      <c r="H20" s="40">
        <v>0</v>
      </c>
      <c r="I20" s="40">
        <v>4758645.2129999995</v>
      </c>
      <c r="N20" s="77" t="s">
        <v>40</v>
      </c>
      <c r="O20" s="40">
        <v>1133342.3999999999</v>
      </c>
      <c r="P20" s="40">
        <v>588781.1</v>
      </c>
      <c r="Q20" s="40">
        <v>1722123.5</v>
      </c>
    </row>
    <row r="21" spans="3:17" x14ac:dyDescent="0.25">
      <c r="C21" s="31" t="s">
        <v>337</v>
      </c>
      <c r="D21" s="29">
        <v>4</v>
      </c>
      <c r="E21" s="40">
        <v>2261000</v>
      </c>
      <c r="F21" s="40">
        <v>1786190</v>
      </c>
      <c r="G21" s="40">
        <v>474810</v>
      </c>
      <c r="H21" s="40">
        <v>0</v>
      </c>
      <c r="I21" s="40">
        <v>1786190</v>
      </c>
      <c r="N21" s="31" t="s">
        <v>60</v>
      </c>
      <c r="O21" s="40">
        <v>6060105.4000000004</v>
      </c>
      <c r="P21" s="40">
        <v>585258.5</v>
      </c>
      <c r="Q21" s="40">
        <v>6645363.9000000004</v>
      </c>
    </row>
    <row r="22" spans="3:17" x14ac:dyDescent="0.25">
      <c r="C22" s="31" t="s">
        <v>338</v>
      </c>
      <c r="D22" s="29">
        <v>1</v>
      </c>
      <c r="E22" s="40">
        <v>633583.9</v>
      </c>
      <c r="F22" s="40">
        <v>538546.31500000006</v>
      </c>
      <c r="G22" s="40">
        <v>95037.584999999963</v>
      </c>
      <c r="H22" s="40">
        <v>0</v>
      </c>
      <c r="I22" s="40">
        <v>538546.31500000006</v>
      </c>
      <c r="N22" s="31" t="s">
        <v>39</v>
      </c>
      <c r="O22" s="40">
        <v>1130500</v>
      </c>
      <c r="P22" s="40">
        <v>586234</v>
      </c>
      <c r="Q22" s="40">
        <v>1716734</v>
      </c>
    </row>
    <row r="23" spans="3:17" x14ac:dyDescent="0.25">
      <c r="C23" s="31" t="s">
        <v>342</v>
      </c>
      <c r="D23" s="29">
        <v>14</v>
      </c>
      <c r="E23" s="40">
        <v>7908263.0999999996</v>
      </c>
      <c r="F23" s="40">
        <v>7750097.8379999995</v>
      </c>
      <c r="G23" s="40">
        <v>158165.26199999999</v>
      </c>
      <c r="H23" s="40">
        <v>0</v>
      </c>
      <c r="I23" s="40">
        <v>7750097.8379999995</v>
      </c>
      <c r="N23" s="31" t="s">
        <v>59</v>
      </c>
      <c r="O23" s="40"/>
      <c r="P23" s="40">
        <v>2492268</v>
      </c>
      <c r="Q23" s="40">
        <v>2492268</v>
      </c>
    </row>
    <row r="24" spans="3:17" x14ac:dyDescent="0.25">
      <c r="C24" s="31" t="s">
        <v>339</v>
      </c>
      <c r="D24" s="29">
        <v>9</v>
      </c>
      <c r="E24" s="40">
        <v>5085713.6000000006</v>
      </c>
      <c r="F24" s="40">
        <v>5085713.6000000006</v>
      </c>
      <c r="G24" s="40">
        <v>0</v>
      </c>
      <c r="H24" s="40">
        <v>0</v>
      </c>
      <c r="I24" s="40">
        <v>5085713.6000000006</v>
      </c>
      <c r="N24" s="31" t="s">
        <v>58</v>
      </c>
      <c r="O24" s="40">
        <v>582340.1</v>
      </c>
      <c r="P24" s="40">
        <v>120707207.59999999</v>
      </c>
      <c r="Q24" s="40">
        <v>121289547.69999999</v>
      </c>
    </row>
    <row r="25" spans="3:17" x14ac:dyDescent="0.25">
      <c r="C25" s="85" t="s">
        <v>178</v>
      </c>
      <c r="D25" s="150">
        <v>84</v>
      </c>
      <c r="E25" s="151">
        <v>48074539.500000007</v>
      </c>
      <c r="F25" s="151">
        <v>21232704.327</v>
      </c>
      <c r="G25" s="151">
        <v>26434197.103</v>
      </c>
      <c r="H25" s="151">
        <v>174702.03</v>
      </c>
      <c r="I25" s="151">
        <v>21058002.296999998</v>
      </c>
      <c r="N25" s="53" t="s">
        <v>30</v>
      </c>
      <c r="O25" s="86">
        <v>8906287.9000000004</v>
      </c>
      <c r="P25" s="86">
        <v>124959749.19999999</v>
      </c>
      <c r="Q25" s="86">
        <v>133866037.09999999</v>
      </c>
    </row>
    <row r="26" spans="3:17" x14ac:dyDescent="0.25">
      <c r="C26" s="77" t="s">
        <v>335</v>
      </c>
      <c r="D26" s="29">
        <v>12</v>
      </c>
      <c r="E26" s="40">
        <v>6784607.7000000002</v>
      </c>
      <c r="F26" s="40">
        <v>339230.38500000001</v>
      </c>
      <c r="G26" s="40">
        <v>6445377.3149999995</v>
      </c>
      <c r="H26" s="40">
        <v>0</v>
      </c>
      <c r="I26" s="40">
        <v>339230.38500000001</v>
      </c>
    </row>
    <row r="27" spans="3:17" x14ac:dyDescent="0.25">
      <c r="C27" s="31" t="s">
        <v>333</v>
      </c>
      <c r="D27" s="29">
        <v>12</v>
      </c>
      <c r="E27" s="40">
        <v>6888431.3000000007</v>
      </c>
      <c r="F27" s="40">
        <v>1377686.26</v>
      </c>
      <c r="G27" s="40">
        <v>5510745.04</v>
      </c>
      <c r="H27" s="40">
        <v>0</v>
      </c>
      <c r="I27" s="40">
        <v>1377686.26</v>
      </c>
    </row>
    <row r="28" spans="3:17" x14ac:dyDescent="0.25">
      <c r="C28" s="31" t="s">
        <v>340</v>
      </c>
      <c r="D28" s="29">
        <v>1</v>
      </c>
      <c r="E28" s="40">
        <v>582340.1</v>
      </c>
      <c r="F28" s="40">
        <v>174702.03</v>
      </c>
      <c r="G28" s="40">
        <v>0</v>
      </c>
      <c r="H28" s="40">
        <v>174702.03</v>
      </c>
      <c r="I28" s="40">
        <v>0</v>
      </c>
    </row>
    <row r="29" spans="3:17" x14ac:dyDescent="0.25">
      <c r="C29" s="31" t="s">
        <v>341</v>
      </c>
      <c r="D29" s="29">
        <v>22</v>
      </c>
      <c r="E29" s="40">
        <v>12695433.6</v>
      </c>
      <c r="F29" s="40">
        <v>5078173.4399999995</v>
      </c>
      <c r="G29" s="40">
        <v>7617260.1599999992</v>
      </c>
      <c r="H29" s="40">
        <v>0</v>
      </c>
      <c r="I29" s="40">
        <v>5078173.4399999995</v>
      </c>
    </row>
    <row r="30" spans="3:17" x14ac:dyDescent="0.25">
      <c r="C30" s="31" t="s">
        <v>336</v>
      </c>
      <c r="D30" s="29">
        <v>9</v>
      </c>
      <c r="E30" s="40">
        <v>5113042.0999999996</v>
      </c>
      <c r="F30" s="40">
        <v>2454260.2080000001</v>
      </c>
      <c r="G30" s="40">
        <v>2658781.892</v>
      </c>
      <c r="H30" s="40">
        <v>0</v>
      </c>
      <c r="I30" s="40">
        <v>2454260.2080000001</v>
      </c>
    </row>
    <row r="31" spans="3:17" x14ac:dyDescent="0.25">
      <c r="C31" s="31" t="s">
        <v>334</v>
      </c>
      <c r="D31" s="29">
        <v>12</v>
      </c>
      <c r="E31" s="40">
        <v>6955637.7999999998</v>
      </c>
      <c r="F31" s="40">
        <v>4382051.8139999993</v>
      </c>
      <c r="G31" s="40">
        <v>2573585.9860000005</v>
      </c>
      <c r="H31" s="40">
        <v>0</v>
      </c>
      <c r="I31" s="40">
        <v>4382051.8139999993</v>
      </c>
    </row>
    <row r="32" spans="3:17" x14ac:dyDescent="0.25">
      <c r="C32" s="31" t="s">
        <v>337</v>
      </c>
      <c r="D32" s="29">
        <v>13</v>
      </c>
      <c r="E32" s="40">
        <v>7341500</v>
      </c>
      <c r="F32" s="40">
        <v>5799785</v>
      </c>
      <c r="G32" s="40">
        <v>1541715</v>
      </c>
      <c r="H32" s="40">
        <v>0</v>
      </c>
      <c r="I32" s="40">
        <v>5799785</v>
      </c>
    </row>
    <row r="33" spans="3:9" x14ac:dyDescent="0.25">
      <c r="C33" s="31" t="s">
        <v>338</v>
      </c>
      <c r="D33" s="29">
        <v>1</v>
      </c>
      <c r="E33" s="40">
        <v>578211.4</v>
      </c>
      <c r="F33" s="40">
        <v>491479.69</v>
      </c>
      <c r="G33" s="40">
        <v>86731.710000000021</v>
      </c>
      <c r="H33" s="40">
        <v>0</v>
      </c>
      <c r="I33" s="40">
        <v>491479.69</v>
      </c>
    </row>
    <row r="34" spans="3:9" x14ac:dyDescent="0.25">
      <c r="C34" s="31" t="s">
        <v>339</v>
      </c>
      <c r="D34" s="29">
        <v>2</v>
      </c>
      <c r="E34" s="40">
        <v>1135335.5</v>
      </c>
      <c r="F34" s="40">
        <v>1135335.5</v>
      </c>
      <c r="G34" s="40">
        <v>0</v>
      </c>
      <c r="H34" s="40">
        <v>0</v>
      </c>
      <c r="I34" s="40">
        <v>1135335.5</v>
      </c>
    </row>
    <row r="35" spans="3:9" x14ac:dyDescent="0.25">
      <c r="C35" s="53" t="s">
        <v>30</v>
      </c>
      <c r="D35" s="52">
        <v>233</v>
      </c>
      <c r="E35" s="86">
        <v>133866037.09999999</v>
      </c>
      <c r="F35" s="86">
        <v>57777434.140999995</v>
      </c>
      <c r="G35" s="86">
        <v>72197023.22299999</v>
      </c>
      <c r="H35" s="86">
        <v>5014708.1639999999</v>
      </c>
      <c r="I35" s="86">
        <v>52762725.977000006</v>
      </c>
    </row>
  </sheetData>
  <pageMargins left="0.7" right="0.7" top="0.75" bottom="0.75" header="0.3" footer="0.3"/>
  <pageSetup orientation="portrait" verticalDpi="0" r:id="rId4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27"/>
  <sheetViews>
    <sheetView workbookViewId="0">
      <selection activeCell="M12" sqref="M12"/>
    </sheetView>
  </sheetViews>
  <sheetFormatPr baseColWidth="10" defaultRowHeight="15" x14ac:dyDescent="0.25"/>
  <cols>
    <col min="1" max="3" width="11.42578125" style="1"/>
    <col min="4" max="4" width="19.85546875" style="1" bestFit="1" customWidth="1"/>
    <col min="5" max="11" width="11.42578125" style="1"/>
    <col min="12" max="12" width="13" style="1" customWidth="1"/>
    <col min="13" max="13" width="11.42578125" style="1"/>
    <col min="14" max="14" width="12.5703125" style="1" bestFit="1" customWidth="1"/>
    <col min="15" max="16384" width="11.42578125" style="1"/>
  </cols>
  <sheetData>
    <row r="7" spans="4:12" x14ac:dyDescent="0.25">
      <c r="D7" s="36" t="s">
        <v>183</v>
      </c>
      <c r="E7" s="27" t="s">
        <v>42</v>
      </c>
      <c r="F7" s="27"/>
      <c r="G7" s="27"/>
      <c r="H7" s="27"/>
      <c r="I7" s="27"/>
      <c r="J7" s="27"/>
      <c r="K7" s="27"/>
      <c r="L7" s="27"/>
    </row>
    <row r="8" spans="4:12" x14ac:dyDescent="0.25">
      <c r="D8" s="36" t="s">
        <v>29</v>
      </c>
      <c r="E8" s="125" t="s">
        <v>186</v>
      </c>
      <c r="F8" s="125" t="s">
        <v>185</v>
      </c>
      <c r="G8" s="125" t="s">
        <v>188</v>
      </c>
      <c r="H8" s="125" t="s">
        <v>187</v>
      </c>
      <c r="I8" s="125" t="s">
        <v>117</v>
      </c>
      <c r="J8" s="125" t="s">
        <v>119</v>
      </c>
      <c r="K8" s="126" t="s">
        <v>182</v>
      </c>
      <c r="L8" s="125" t="s">
        <v>30</v>
      </c>
    </row>
    <row r="9" spans="4:12" x14ac:dyDescent="0.25">
      <c r="D9" s="77" t="s">
        <v>67</v>
      </c>
      <c r="E9" s="29"/>
      <c r="F9" s="29">
        <v>1</v>
      </c>
      <c r="G9" s="29">
        <v>1</v>
      </c>
      <c r="H9" s="29"/>
      <c r="I9" s="29"/>
      <c r="J9" s="29"/>
      <c r="K9" s="29"/>
      <c r="L9" s="29">
        <v>2</v>
      </c>
    </row>
    <row r="10" spans="4:12" x14ac:dyDescent="0.25">
      <c r="D10" s="31" t="s">
        <v>40</v>
      </c>
      <c r="E10" s="29">
        <v>1</v>
      </c>
      <c r="F10" s="29"/>
      <c r="G10" s="29"/>
      <c r="H10" s="29">
        <v>1</v>
      </c>
      <c r="I10" s="29"/>
      <c r="J10" s="29"/>
      <c r="K10" s="29"/>
      <c r="L10" s="29">
        <v>2</v>
      </c>
    </row>
    <row r="11" spans="4:12" x14ac:dyDescent="0.25">
      <c r="D11" s="31" t="s">
        <v>36</v>
      </c>
      <c r="E11" s="29"/>
      <c r="F11" s="29"/>
      <c r="G11" s="29"/>
      <c r="H11" s="29"/>
      <c r="I11" s="29">
        <v>3</v>
      </c>
      <c r="J11" s="29">
        <v>1</v>
      </c>
      <c r="K11" s="29"/>
      <c r="L11" s="29">
        <v>4</v>
      </c>
    </row>
    <row r="12" spans="4:12" x14ac:dyDescent="0.25">
      <c r="D12" s="31" t="s">
        <v>65</v>
      </c>
      <c r="E12" s="29"/>
      <c r="F12" s="29"/>
      <c r="G12" s="29"/>
      <c r="H12" s="29"/>
      <c r="I12" s="29">
        <v>3</v>
      </c>
      <c r="J12" s="29"/>
      <c r="K12" s="29"/>
      <c r="L12" s="29">
        <v>3</v>
      </c>
    </row>
    <row r="13" spans="4:12" x14ac:dyDescent="0.25">
      <c r="D13" s="31" t="s">
        <v>66</v>
      </c>
      <c r="E13" s="29"/>
      <c r="F13" s="29"/>
      <c r="G13" s="29"/>
      <c r="H13" s="29"/>
      <c r="I13" s="29">
        <v>3</v>
      </c>
      <c r="J13" s="29"/>
      <c r="K13" s="29"/>
      <c r="L13" s="29">
        <v>3</v>
      </c>
    </row>
    <row r="14" spans="4:12" x14ac:dyDescent="0.25">
      <c r="D14" s="31" t="s">
        <v>37</v>
      </c>
      <c r="E14" s="29"/>
      <c r="F14" s="29"/>
      <c r="G14" s="29"/>
      <c r="H14" s="29"/>
      <c r="I14" s="29"/>
      <c r="J14" s="29"/>
      <c r="K14" s="29">
        <v>207</v>
      </c>
      <c r="L14" s="29">
        <v>207</v>
      </c>
    </row>
    <row r="15" spans="4:12" x14ac:dyDescent="0.25">
      <c r="D15" s="53" t="s">
        <v>30</v>
      </c>
      <c r="E15" s="52">
        <v>1</v>
      </c>
      <c r="F15" s="52">
        <v>1</v>
      </c>
      <c r="G15" s="52">
        <v>1</v>
      </c>
      <c r="H15" s="52">
        <v>1</v>
      </c>
      <c r="I15" s="52">
        <v>9</v>
      </c>
      <c r="J15" s="52">
        <v>1</v>
      </c>
      <c r="K15" s="52">
        <v>207</v>
      </c>
      <c r="L15" s="52">
        <v>221</v>
      </c>
    </row>
    <row r="19" spans="4:12" x14ac:dyDescent="0.25">
      <c r="D19" s="36" t="s">
        <v>31</v>
      </c>
      <c r="E19" s="27" t="s">
        <v>42</v>
      </c>
      <c r="F19" s="27"/>
      <c r="G19" s="27"/>
      <c r="H19" s="27"/>
      <c r="I19" s="27"/>
      <c r="J19" s="27"/>
      <c r="K19" s="27"/>
      <c r="L19" s="27"/>
    </row>
    <row r="20" spans="4:12" x14ac:dyDescent="0.25">
      <c r="D20" s="36" t="s">
        <v>29</v>
      </c>
      <c r="E20" s="125" t="s">
        <v>186</v>
      </c>
      <c r="F20" s="125" t="s">
        <v>185</v>
      </c>
      <c r="G20" s="125" t="s">
        <v>188</v>
      </c>
      <c r="H20" s="125" t="s">
        <v>187</v>
      </c>
      <c r="I20" s="125" t="s">
        <v>117</v>
      </c>
      <c r="J20" s="125" t="s">
        <v>119</v>
      </c>
      <c r="K20" s="126" t="s">
        <v>182</v>
      </c>
      <c r="L20" s="125" t="s">
        <v>30</v>
      </c>
    </row>
    <row r="21" spans="4:12" x14ac:dyDescent="0.25">
      <c r="D21" s="77" t="s">
        <v>67</v>
      </c>
      <c r="E21" s="40"/>
      <c r="F21" s="40">
        <v>1126000</v>
      </c>
      <c r="G21" s="40">
        <v>1177562.2</v>
      </c>
      <c r="H21" s="40"/>
      <c r="I21" s="40"/>
      <c r="J21" s="40"/>
      <c r="K21" s="40"/>
      <c r="L21" s="40">
        <v>2303562.2000000002</v>
      </c>
    </row>
    <row r="22" spans="4:12" x14ac:dyDescent="0.25">
      <c r="D22" s="31" t="s">
        <v>40</v>
      </c>
      <c r="E22" s="40">
        <v>1140684.8</v>
      </c>
      <c r="F22" s="40"/>
      <c r="G22" s="40"/>
      <c r="H22" s="40">
        <v>1925023.8</v>
      </c>
      <c r="I22" s="40"/>
      <c r="J22" s="40"/>
      <c r="K22" s="40"/>
      <c r="L22" s="40">
        <v>3065708.6</v>
      </c>
    </row>
    <row r="23" spans="4:12" x14ac:dyDescent="0.25">
      <c r="D23" s="31" t="s">
        <v>36</v>
      </c>
      <c r="E23" s="40"/>
      <c r="F23" s="40"/>
      <c r="G23" s="40"/>
      <c r="H23" s="40"/>
      <c r="I23" s="40">
        <v>3405895.8</v>
      </c>
      <c r="J23" s="40">
        <v>1170517</v>
      </c>
      <c r="K23" s="40"/>
      <c r="L23" s="40">
        <v>4576412.8</v>
      </c>
    </row>
    <row r="24" spans="4:12" x14ac:dyDescent="0.25">
      <c r="D24" s="31" t="s">
        <v>65</v>
      </c>
      <c r="E24" s="40"/>
      <c r="F24" s="40"/>
      <c r="G24" s="40"/>
      <c r="H24" s="40"/>
      <c r="I24" s="40">
        <v>3387000</v>
      </c>
      <c r="J24" s="40"/>
      <c r="K24" s="40"/>
      <c r="L24" s="40">
        <v>3387000</v>
      </c>
    </row>
    <row r="25" spans="4:12" x14ac:dyDescent="0.25">
      <c r="D25" s="31" t="s">
        <v>66</v>
      </c>
      <c r="E25" s="40"/>
      <c r="F25" s="40"/>
      <c r="G25" s="40"/>
      <c r="H25" s="40"/>
      <c r="I25" s="40">
        <v>3402291.1999999997</v>
      </c>
      <c r="J25" s="40"/>
      <c r="K25" s="40"/>
      <c r="L25" s="40">
        <v>3402291.1999999997</v>
      </c>
    </row>
    <row r="26" spans="4:12" x14ac:dyDescent="0.25">
      <c r="D26" s="31" t="s">
        <v>37</v>
      </c>
      <c r="E26" s="40"/>
      <c r="F26" s="40"/>
      <c r="G26" s="40"/>
      <c r="H26" s="40"/>
      <c r="I26" s="40"/>
      <c r="J26" s="40"/>
      <c r="K26" s="40">
        <v>237122951.40000001</v>
      </c>
      <c r="L26" s="40">
        <v>237122951.40000001</v>
      </c>
    </row>
    <row r="27" spans="4:12" x14ac:dyDescent="0.25">
      <c r="D27" s="53" t="s">
        <v>30</v>
      </c>
      <c r="E27" s="86">
        <v>1140684.8</v>
      </c>
      <c r="F27" s="86">
        <v>1126000</v>
      </c>
      <c r="G27" s="86">
        <v>1177562.2</v>
      </c>
      <c r="H27" s="86">
        <v>1925023.8</v>
      </c>
      <c r="I27" s="86">
        <v>10195187</v>
      </c>
      <c r="J27" s="86">
        <v>1170517</v>
      </c>
      <c r="K27" s="86">
        <v>237122951.40000001</v>
      </c>
      <c r="L27" s="86">
        <v>253857926.20000002</v>
      </c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9"/>
  <sheetViews>
    <sheetView workbookViewId="0">
      <selection activeCell="I18" sqref="I18"/>
    </sheetView>
  </sheetViews>
  <sheetFormatPr baseColWidth="10" defaultRowHeight="15" x14ac:dyDescent="0.25"/>
  <cols>
    <col min="1" max="1" width="3.5703125" style="1" customWidth="1"/>
    <col min="2" max="7" width="11.42578125" style="1"/>
    <col min="8" max="8" width="4.28515625" style="1" customWidth="1"/>
    <col min="9" max="14" width="11.42578125" style="1"/>
    <col min="15" max="15" width="3.7109375" style="1" customWidth="1"/>
    <col min="16" max="16384" width="11.42578125" style="1"/>
  </cols>
  <sheetData>
    <row r="3" spans="2:21" ht="21" x14ac:dyDescent="0.35">
      <c r="C3" s="90" t="s">
        <v>203</v>
      </c>
      <c r="J3" s="90" t="s">
        <v>205</v>
      </c>
      <c r="Q3" s="90" t="s">
        <v>204</v>
      </c>
    </row>
    <row r="5" spans="2:21" x14ac:dyDescent="0.25">
      <c r="C5" s="177" t="str">
        <f ca="1">"SEM "&amp;WEEKNUM(TODAY())-1</f>
        <v>SEM 30</v>
      </c>
      <c r="D5" s="177"/>
      <c r="E5" s="176" t="str">
        <f ca="1">"SEM "&amp;WEEKNUM(TODAY())</f>
        <v>SEM 31</v>
      </c>
      <c r="F5" s="176"/>
      <c r="G5" s="124" t="str">
        <f ca="1">"SEM "&amp;WEEKNUM(TODAY())+1</f>
        <v>SEM 32</v>
      </c>
      <c r="H5" s="88"/>
      <c r="J5" s="177" t="str">
        <f ca="1">"SEM "&amp;WEEKNUM(TODAY())-1</f>
        <v>SEM 30</v>
      </c>
      <c r="K5" s="177"/>
      <c r="L5" s="176" t="str">
        <f ca="1">"SEM "&amp;WEEKNUM(TODAY())</f>
        <v>SEM 31</v>
      </c>
      <c r="M5" s="176"/>
      <c r="N5" s="124" t="str">
        <f ca="1">"SEM "&amp;WEEKNUM(TODAY())+1</f>
        <v>SEM 32</v>
      </c>
      <c r="Q5" s="177" t="str">
        <f ca="1">"SEM "&amp;WEEKNUM(TODAY())-1</f>
        <v>SEM 30</v>
      </c>
      <c r="R5" s="177"/>
      <c r="S5" s="176" t="str">
        <f ca="1">"SEM "&amp;WEEKNUM(TODAY())</f>
        <v>SEM 31</v>
      </c>
      <c r="T5" s="176"/>
      <c r="U5" s="124" t="str">
        <f ca="1">"SEM "&amp;WEEKNUM(TODAY())+1</f>
        <v>SEM 32</v>
      </c>
    </row>
    <row r="6" spans="2:21" x14ac:dyDescent="0.25">
      <c r="C6" s="123" t="s">
        <v>198</v>
      </c>
      <c r="D6" s="123" t="s">
        <v>199</v>
      </c>
      <c r="E6" s="122" t="s">
        <v>198</v>
      </c>
      <c r="F6" s="122" t="s">
        <v>199</v>
      </c>
      <c r="G6" s="124" t="s">
        <v>198</v>
      </c>
      <c r="J6" s="123" t="s">
        <v>198</v>
      </c>
      <c r="K6" s="123" t="s">
        <v>199</v>
      </c>
      <c r="L6" s="122" t="s">
        <v>198</v>
      </c>
      <c r="M6" s="122" t="s">
        <v>199</v>
      </c>
      <c r="N6" s="124" t="s">
        <v>198</v>
      </c>
      <c r="Q6" s="123" t="s">
        <v>198</v>
      </c>
      <c r="R6" s="123" t="s">
        <v>199</v>
      </c>
      <c r="S6" s="122" t="s">
        <v>198</v>
      </c>
      <c r="T6" s="122" t="s">
        <v>199</v>
      </c>
      <c r="U6" s="124" t="s">
        <v>198</v>
      </c>
    </row>
    <row r="7" spans="2:21" x14ac:dyDescent="0.25">
      <c r="B7" s="89" t="s">
        <v>200</v>
      </c>
      <c r="C7" s="28">
        <v>15</v>
      </c>
      <c r="D7" s="28"/>
      <c r="E7" s="28">
        <v>15</v>
      </c>
      <c r="F7" s="28"/>
      <c r="G7" s="28">
        <v>15</v>
      </c>
      <c r="I7" s="89" t="s">
        <v>200</v>
      </c>
      <c r="J7" s="91">
        <f>C7/3</f>
        <v>5</v>
      </c>
      <c r="K7" s="28"/>
      <c r="L7" s="91">
        <f>J7</f>
        <v>5</v>
      </c>
      <c r="M7" s="28"/>
      <c r="N7" s="91">
        <f>L7</f>
        <v>5</v>
      </c>
      <c r="P7" s="89" t="s">
        <v>200</v>
      </c>
      <c r="Q7" s="91">
        <f t="shared" ref="Q7:Q13" si="0">J7*0.85</f>
        <v>4.25</v>
      </c>
      <c r="R7" s="28"/>
      <c r="S7" s="91">
        <f>Q7</f>
        <v>4.25</v>
      </c>
      <c r="T7" s="91"/>
      <c r="U7" s="91">
        <f>S7</f>
        <v>4.25</v>
      </c>
    </row>
    <row r="8" spans="2:21" x14ac:dyDescent="0.25">
      <c r="B8" s="89" t="s">
        <v>201</v>
      </c>
      <c r="C8" s="28">
        <v>5</v>
      </c>
      <c r="D8" s="28"/>
      <c r="E8" s="28">
        <v>5</v>
      </c>
      <c r="F8" s="28"/>
      <c r="G8" s="28">
        <v>5</v>
      </c>
      <c r="I8" s="89" t="s">
        <v>201</v>
      </c>
      <c r="J8" s="91">
        <f t="shared" ref="J8:J13" si="1">C8/3</f>
        <v>1.6666666666666667</v>
      </c>
      <c r="K8" s="28"/>
      <c r="L8" s="91">
        <f t="shared" ref="L8:L13" si="2">J8</f>
        <v>1.6666666666666667</v>
      </c>
      <c r="M8" s="28"/>
      <c r="N8" s="91">
        <f t="shared" ref="N8:N13" si="3">L8</f>
        <v>1.6666666666666667</v>
      </c>
      <c r="P8" s="89" t="s">
        <v>201</v>
      </c>
      <c r="Q8" s="91">
        <f t="shared" si="0"/>
        <v>1.4166666666666667</v>
      </c>
      <c r="R8" s="28"/>
      <c r="S8" s="91">
        <f t="shared" ref="S8:S13" si="4">Q8</f>
        <v>1.4166666666666667</v>
      </c>
      <c r="T8" s="91"/>
      <c r="U8" s="91">
        <f t="shared" ref="U8:U13" si="5">S8</f>
        <v>1.4166666666666667</v>
      </c>
    </row>
    <row r="9" spans="2:21" x14ac:dyDescent="0.25">
      <c r="B9" s="89" t="s">
        <v>85</v>
      </c>
      <c r="C9" s="28">
        <v>2</v>
      </c>
      <c r="D9" s="28"/>
      <c r="E9" s="28">
        <v>2</v>
      </c>
      <c r="F9" s="28"/>
      <c r="G9" s="28">
        <v>2</v>
      </c>
      <c r="I9" s="89" t="s">
        <v>85</v>
      </c>
      <c r="J9" s="91">
        <f t="shared" si="1"/>
        <v>0.66666666666666663</v>
      </c>
      <c r="K9" s="28"/>
      <c r="L9" s="91">
        <f t="shared" si="2"/>
        <v>0.66666666666666663</v>
      </c>
      <c r="M9" s="28"/>
      <c r="N9" s="91">
        <f t="shared" si="3"/>
        <v>0.66666666666666663</v>
      </c>
      <c r="P9" s="89" t="s">
        <v>85</v>
      </c>
      <c r="Q9" s="91">
        <f t="shared" si="0"/>
        <v>0.56666666666666665</v>
      </c>
      <c r="R9" s="28"/>
      <c r="S9" s="91">
        <f t="shared" si="4"/>
        <v>0.56666666666666665</v>
      </c>
      <c r="T9" s="91"/>
      <c r="U9" s="91">
        <f t="shared" si="5"/>
        <v>0.56666666666666665</v>
      </c>
    </row>
    <row r="10" spans="2:21" x14ac:dyDescent="0.25">
      <c r="B10" s="89" t="s">
        <v>82</v>
      </c>
      <c r="C10" s="28">
        <v>10</v>
      </c>
      <c r="D10" s="28"/>
      <c r="E10" s="28">
        <v>10</v>
      </c>
      <c r="F10" s="28"/>
      <c r="G10" s="28">
        <v>10</v>
      </c>
      <c r="I10" s="89" t="s">
        <v>82</v>
      </c>
      <c r="J10" s="91">
        <f t="shared" si="1"/>
        <v>3.3333333333333335</v>
      </c>
      <c r="K10" s="28"/>
      <c r="L10" s="91">
        <f t="shared" si="2"/>
        <v>3.3333333333333335</v>
      </c>
      <c r="M10" s="28"/>
      <c r="N10" s="91">
        <f t="shared" si="3"/>
        <v>3.3333333333333335</v>
      </c>
      <c r="P10" s="89" t="s">
        <v>82</v>
      </c>
      <c r="Q10" s="91">
        <f t="shared" si="0"/>
        <v>2.8333333333333335</v>
      </c>
      <c r="R10" s="28"/>
      <c r="S10" s="91">
        <f t="shared" si="4"/>
        <v>2.8333333333333335</v>
      </c>
      <c r="T10" s="91"/>
      <c r="U10" s="91">
        <f t="shared" si="5"/>
        <v>2.8333333333333335</v>
      </c>
    </row>
    <row r="11" spans="2:21" x14ac:dyDescent="0.25">
      <c r="B11" s="89" t="s">
        <v>81</v>
      </c>
      <c r="C11" s="28">
        <v>1</v>
      </c>
      <c r="D11" s="28"/>
      <c r="E11" s="28">
        <v>1</v>
      </c>
      <c r="F11" s="28"/>
      <c r="G11" s="28">
        <v>1</v>
      </c>
      <c r="I11" s="89" t="s">
        <v>81</v>
      </c>
      <c r="J11" s="91">
        <f t="shared" si="1"/>
        <v>0.33333333333333331</v>
      </c>
      <c r="K11" s="28"/>
      <c r="L11" s="91">
        <f t="shared" si="2"/>
        <v>0.33333333333333331</v>
      </c>
      <c r="M11" s="28"/>
      <c r="N11" s="91">
        <f t="shared" si="3"/>
        <v>0.33333333333333331</v>
      </c>
      <c r="P11" s="89" t="s">
        <v>81</v>
      </c>
      <c r="Q11" s="91">
        <f t="shared" si="0"/>
        <v>0.28333333333333333</v>
      </c>
      <c r="R11" s="28"/>
      <c r="S11" s="91">
        <f t="shared" si="4"/>
        <v>0.28333333333333333</v>
      </c>
      <c r="T11" s="91"/>
      <c r="U11" s="91">
        <f t="shared" si="5"/>
        <v>0.28333333333333333</v>
      </c>
    </row>
    <row r="12" spans="2:21" x14ac:dyDescent="0.25">
      <c r="B12" s="89" t="s">
        <v>83</v>
      </c>
      <c r="C12" s="28">
        <v>0</v>
      </c>
      <c r="D12" s="28"/>
      <c r="E12" s="28">
        <v>0</v>
      </c>
      <c r="F12" s="28"/>
      <c r="G12" s="28">
        <v>0</v>
      </c>
      <c r="I12" s="89" t="s">
        <v>83</v>
      </c>
      <c r="J12" s="91">
        <f t="shared" si="1"/>
        <v>0</v>
      </c>
      <c r="K12" s="28"/>
      <c r="L12" s="91">
        <f t="shared" si="2"/>
        <v>0</v>
      </c>
      <c r="M12" s="28"/>
      <c r="N12" s="91">
        <f t="shared" si="3"/>
        <v>0</v>
      </c>
      <c r="P12" s="89" t="s">
        <v>83</v>
      </c>
      <c r="Q12" s="91">
        <f t="shared" si="0"/>
        <v>0</v>
      </c>
      <c r="R12" s="28"/>
      <c r="S12" s="91">
        <f t="shared" si="4"/>
        <v>0</v>
      </c>
      <c r="T12" s="91"/>
      <c r="U12" s="91">
        <f t="shared" si="5"/>
        <v>0</v>
      </c>
    </row>
    <row r="13" spans="2:21" x14ac:dyDescent="0.25">
      <c r="B13" s="89" t="s">
        <v>84</v>
      </c>
      <c r="C13" s="28">
        <v>0</v>
      </c>
      <c r="D13" s="28"/>
      <c r="E13" s="28">
        <v>0</v>
      </c>
      <c r="F13" s="28"/>
      <c r="G13" s="28">
        <v>0</v>
      </c>
      <c r="I13" s="89" t="s">
        <v>84</v>
      </c>
      <c r="J13" s="91">
        <f t="shared" si="1"/>
        <v>0</v>
      </c>
      <c r="K13" s="28"/>
      <c r="L13" s="91">
        <f t="shared" si="2"/>
        <v>0</v>
      </c>
      <c r="M13" s="28"/>
      <c r="N13" s="91">
        <f t="shared" si="3"/>
        <v>0</v>
      </c>
      <c r="P13" s="89" t="s">
        <v>84</v>
      </c>
      <c r="Q13" s="91">
        <f t="shared" si="0"/>
        <v>0</v>
      </c>
      <c r="R13" s="28"/>
      <c r="S13" s="91">
        <f t="shared" si="4"/>
        <v>0</v>
      </c>
      <c r="T13" s="91"/>
      <c r="U13" s="91">
        <f t="shared" si="5"/>
        <v>0</v>
      </c>
    </row>
    <row r="14" spans="2:21" x14ac:dyDescent="0.25">
      <c r="B14" s="89" t="s">
        <v>202</v>
      </c>
      <c r="C14" s="28">
        <f>SUM(C7:C13)</f>
        <v>33</v>
      </c>
      <c r="D14" s="28">
        <f t="shared" ref="D14:G14" si="6">SUM(D7:D13)</f>
        <v>0</v>
      </c>
      <c r="E14" s="28">
        <f t="shared" si="6"/>
        <v>33</v>
      </c>
      <c r="F14" s="28">
        <f t="shared" si="6"/>
        <v>0</v>
      </c>
      <c r="G14" s="28">
        <f t="shared" si="6"/>
        <v>33</v>
      </c>
      <c r="I14" s="89" t="s">
        <v>202</v>
      </c>
      <c r="J14" s="28">
        <f>SUM(J7:J13)</f>
        <v>11.000000000000002</v>
      </c>
      <c r="K14" s="28">
        <f t="shared" ref="K14" si="7">SUM(K7:K13)</f>
        <v>0</v>
      </c>
      <c r="L14" s="28">
        <f t="shared" ref="L14" si="8">SUM(L7:L13)</f>
        <v>11.000000000000002</v>
      </c>
      <c r="M14" s="28">
        <f t="shared" ref="M14" si="9">SUM(M7:M13)</f>
        <v>0</v>
      </c>
      <c r="N14" s="28">
        <f t="shared" ref="N14" si="10">SUM(N7:N13)</f>
        <v>11.000000000000002</v>
      </c>
      <c r="P14" s="89" t="s">
        <v>202</v>
      </c>
      <c r="Q14" s="91">
        <f>SUM(Q7:Q13)</f>
        <v>9.35</v>
      </c>
      <c r="R14" s="28">
        <f t="shared" ref="R14" si="11">SUM(R7:R13)</f>
        <v>0</v>
      </c>
      <c r="S14" s="91">
        <f t="shared" ref="S14" si="12">SUM(S7:S13)</f>
        <v>9.35</v>
      </c>
      <c r="T14" s="91">
        <f t="shared" ref="T14" si="13">SUM(T7:T13)</f>
        <v>0</v>
      </c>
      <c r="U14" s="91">
        <f t="shared" ref="U14" si="14">SUM(U7:U13)</f>
        <v>9.35</v>
      </c>
    </row>
    <row r="18" spans="2:21" ht="21" x14ac:dyDescent="0.35">
      <c r="C18" s="90" t="s">
        <v>206</v>
      </c>
      <c r="J18" s="90" t="s">
        <v>207</v>
      </c>
      <c r="Q18" s="90" t="s">
        <v>208</v>
      </c>
    </row>
    <row r="20" spans="2:21" x14ac:dyDescent="0.25">
      <c r="C20" s="177" t="str">
        <f ca="1">"MES "&amp;(IF(MONTH(TODAY())-1=1,"ENE","")&amp;IF(MONTH(TODAY())-1=2,"FEB","")&amp;IF(MONTH(TODAY())-1=3,"MAR","")&amp;IF(MONTH(TODAY())-1=4,"ABR","")&amp;IF(MONTH(TODAY())-1=5,"MAY","")&amp;IF(MONTH(TODAY())-1=6,"JUN","")&amp;IF(MONTH(TODAY())-1=7,"JUL","")&amp;IF(MONTH(TODAY())-1=8,"AGO","")&amp;IF(MONTH(TODAY())-1=9,"SEP","")&amp;IF(MONTH(TODAY())-1=10,"OCT","")&amp;IF(MONTH(TODAY())-1=11,"NOV","")&amp;IF(MONTH(TODAY())-1=12,"DIC",""))</f>
        <v>MES JUL</v>
      </c>
      <c r="D20" s="177"/>
      <c r="E20" s="176" t="str">
        <f ca="1">"MES "&amp;(IF(MONTH(TODAY())=1,"ENE","")&amp;IF(MONTH(TODAY())=2,"FEB","")&amp;IF(MONTH(TODAY())=3,"MAR","")&amp;IF(MONTH(TODAY())=4,"ABR","")&amp;IF(MONTH(TODAY())=5,"MAY","")&amp;IF(MONTH(TODAY())=6,"JUN","")&amp;IF(MONTH(TODAY())=7,"JUL","")&amp;IF(MONTH(TODAY())=8,"AGO","")&amp;IF(MONTH(TODAY())=9,"SEP","")&amp;IF(MONTH(TODAY())=10,"OCT","")&amp;IF(MONTH(TODAY())=11,"NOV","")&amp;IF(MONTH(TODAY())=12,"DIC",""))</f>
        <v>MES AGO</v>
      </c>
      <c r="F20" s="176"/>
      <c r="G20" s="124" t="str">
        <f ca="1">"MES "&amp;(IF(MONTH(TODAY())+1=1,"ENE","")&amp;IF(MONTH(TODAY())+1=2,"FEB","")&amp;IF(MONTH(TODAY())+1=3,"MAR","")&amp;IF(MONTH(TODAY())+1=4,"ABR","")&amp;IF(MONTH(TODAY())+1=5,"MAY","")&amp;IF(MONTH(TODAY())+1=6,"JUN","")&amp;IF(MONTH(TODAY())+1=7,"JUL","")&amp;IF(MONTH(TODAY())+1=8,"AGO","")&amp;IF(MONTH(TODAY())+1=9,"SEP","")&amp;IF(MONTH(TODAY())+1=10,"OCT","")&amp;IF(MONTH(TODAY())+1=11,"NOV","")&amp;IF(MONTH(TODAY())+1=12,"DIC",""))</f>
        <v>MES SEP</v>
      </c>
      <c r="H20" s="88"/>
      <c r="J20" s="177" t="str">
        <f ca="1">"MES "&amp;(IF(MONTH(TODAY())-1=1,"ENE","")&amp;IF(MONTH(TODAY())-1=2,"FEB","")&amp;IF(MONTH(TODAY())-1=3,"MAR","")&amp;IF(MONTH(TODAY())-1=4,"ABR","")&amp;IF(MONTH(TODAY())-1=5,"MAY","")&amp;IF(MONTH(TODAY())-1=6,"JUN","")&amp;IF(MONTH(TODAY())-1=7,"JUL","")&amp;IF(MONTH(TODAY())-1=8,"AGO","")&amp;IF(MONTH(TODAY())-1=9,"SEP","")&amp;IF(MONTH(TODAY())-1=10,"OCT","")&amp;IF(MONTH(TODAY())-1=11,"NOV","")&amp;IF(MONTH(TODAY())-1=12,"DIC",""))</f>
        <v>MES JUL</v>
      </c>
      <c r="K20" s="177"/>
      <c r="L20" s="176" t="str">
        <f ca="1">"MES "&amp;(IF(MONTH(TODAY())=1,"ENE","")&amp;IF(MONTH(TODAY())=2,"FEB","")&amp;IF(MONTH(TODAY())=3,"MAR","")&amp;IF(MONTH(TODAY())=4,"ABR","")&amp;IF(MONTH(TODAY())=5,"MAY","")&amp;IF(MONTH(TODAY())=6,"JUN","")&amp;IF(MONTH(TODAY())=7,"JUL","")&amp;IF(MONTH(TODAY())=8,"AGO","")&amp;IF(MONTH(TODAY())=9,"SEP","")&amp;IF(MONTH(TODAY())=10,"OCT","")&amp;IF(MONTH(TODAY())=11,"NOV","")&amp;IF(MONTH(TODAY())=12,"DIC",""))</f>
        <v>MES AGO</v>
      </c>
      <c r="M20" s="176"/>
      <c r="N20" s="124" t="str">
        <f ca="1">"MES "&amp;(IF(MONTH(TODAY())+1=1,"ENE","")&amp;IF(MONTH(TODAY())+1=2,"FEB","")&amp;IF(MONTH(TODAY())+1=3,"MAR","")&amp;IF(MONTH(TODAY())+1=4,"ABR","")&amp;IF(MONTH(TODAY())+1=5,"MAY","")&amp;IF(MONTH(TODAY())+1=6,"JUN","")&amp;IF(MONTH(TODAY())+1=7,"JUL","")&amp;IF(MONTH(TODAY())+1=8,"AGO","")&amp;IF(MONTH(TODAY())+1=9,"SEP","")&amp;IF(MONTH(TODAY())+1=10,"OCT","")&amp;IF(MONTH(TODAY())+1=11,"NOV","")&amp;IF(MONTH(TODAY())+1=12,"DIC",""))</f>
        <v>MES SEP</v>
      </c>
      <c r="Q20" s="177" t="str">
        <f ca="1">"MES "&amp;(IF(MONTH(TODAY())-1=1,"ENE","")&amp;IF(MONTH(TODAY())-1=2,"FEB","")&amp;IF(MONTH(TODAY())-1=3,"MAR","")&amp;IF(MONTH(TODAY())-1=4,"ABR","")&amp;IF(MONTH(TODAY())-1=5,"MAY","")&amp;IF(MONTH(TODAY())-1=6,"JUN","")&amp;IF(MONTH(TODAY())-1=7,"JUL","")&amp;IF(MONTH(TODAY())-1=8,"AGO","")&amp;IF(MONTH(TODAY())-1=9,"SEP","")&amp;IF(MONTH(TODAY())-1=10,"OCT","")&amp;IF(MONTH(TODAY())-1=11,"NOV","")&amp;IF(MONTH(TODAY())-1=12,"DIC",""))</f>
        <v>MES JUL</v>
      </c>
      <c r="R20" s="177"/>
      <c r="S20" s="176" t="str">
        <f ca="1">"MES "&amp;(IF(MONTH(TODAY())=1,"ENE","")&amp;IF(MONTH(TODAY())=2,"FEB","")&amp;IF(MONTH(TODAY())=3,"MAR","")&amp;IF(MONTH(TODAY())=4,"ABR","")&amp;IF(MONTH(TODAY())=5,"MAY","")&amp;IF(MONTH(TODAY())=6,"JUN","")&amp;IF(MONTH(TODAY())=7,"JUL","")&amp;IF(MONTH(TODAY())=8,"AGO","")&amp;IF(MONTH(TODAY())=9,"SEP","")&amp;IF(MONTH(TODAY())=10,"OCT","")&amp;IF(MONTH(TODAY())=11,"NOV","")&amp;IF(MONTH(TODAY())=12,"DIC",""))</f>
        <v>MES AGO</v>
      </c>
      <c r="T20" s="176"/>
      <c r="U20" s="124" t="str">
        <f ca="1">"MES "&amp;(IF(MONTH(TODAY())+1=1,"ENE","")&amp;IF(MONTH(TODAY())+1=2,"FEB","")&amp;IF(MONTH(TODAY())+1=3,"MAR","")&amp;IF(MONTH(TODAY())+1=4,"ABR","")&amp;IF(MONTH(TODAY())+1=5,"MAY","")&amp;IF(MONTH(TODAY())+1=6,"JUN","")&amp;IF(MONTH(TODAY())+1=7,"JUL","")&amp;IF(MONTH(TODAY())+1=8,"AGO","")&amp;IF(MONTH(TODAY())+1=9,"SEP","")&amp;IF(MONTH(TODAY())+1=10,"OCT","")&amp;IF(MONTH(TODAY())+1=11,"NOV","")&amp;IF(MONTH(TODAY())+1=12,"DIC",""))</f>
        <v>MES SEP</v>
      </c>
    </row>
    <row r="21" spans="2:21" x14ac:dyDescent="0.25">
      <c r="C21" s="123" t="s">
        <v>198</v>
      </c>
      <c r="D21" s="123" t="s">
        <v>199</v>
      </c>
      <c r="E21" s="122" t="s">
        <v>198</v>
      </c>
      <c r="F21" s="122" t="s">
        <v>199</v>
      </c>
      <c r="G21" s="124" t="s">
        <v>198</v>
      </c>
      <c r="J21" s="123" t="s">
        <v>198</v>
      </c>
      <c r="K21" s="123" t="s">
        <v>199</v>
      </c>
      <c r="L21" s="122" t="s">
        <v>198</v>
      </c>
      <c r="M21" s="122" t="s">
        <v>199</v>
      </c>
      <c r="N21" s="124" t="s">
        <v>198</v>
      </c>
      <c r="Q21" s="123" t="s">
        <v>198</v>
      </c>
      <c r="R21" s="123" t="s">
        <v>199</v>
      </c>
      <c r="S21" s="122" t="s">
        <v>198</v>
      </c>
      <c r="T21" s="122" t="s">
        <v>199</v>
      </c>
      <c r="U21" s="124" t="s">
        <v>198</v>
      </c>
    </row>
    <row r="22" spans="2:21" x14ac:dyDescent="0.25">
      <c r="B22" s="89" t="s">
        <v>200</v>
      </c>
      <c r="C22" s="28">
        <f>+C7*4</f>
        <v>60</v>
      </c>
      <c r="D22" s="28"/>
      <c r="E22" s="28">
        <f>+C22</f>
        <v>60</v>
      </c>
      <c r="F22" s="28"/>
      <c r="G22" s="28">
        <f>+E22</f>
        <v>60</v>
      </c>
      <c r="I22" s="89" t="s">
        <v>200</v>
      </c>
      <c r="J22" s="91">
        <f>+J7*4</f>
        <v>20</v>
      </c>
      <c r="K22" s="28"/>
      <c r="L22" s="91">
        <f>J22</f>
        <v>20</v>
      </c>
      <c r="M22" s="28"/>
      <c r="N22" s="91">
        <f>L22</f>
        <v>20</v>
      </c>
      <c r="P22" s="89" t="s">
        <v>200</v>
      </c>
      <c r="Q22" s="91">
        <f>+Q7*4</f>
        <v>17</v>
      </c>
      <c r="R22" s="28"/>
      <c r="S22" s="91">
        <f>Q22</f>
        <v>17</v>
      </c>
      <c r="T22" s="91"/>
      <c r="U22" s="91">
        <f>S22</f>
        <v>17</v>
      </c>
    </row>
    <row r="23" spans="2:21" x14ac:dyDescent="0.25">
      <c r="B23" s="89" t="s">
        <v>201</v>
      </c>
      <c r="C23" s="28">
        <f t="shared" ref="C23:C28" si="15">+C8*4</f>
        <v>20</v>
      </c>
      <c r="D23" s="28"/>
      <c r="E23" s="28">
        <f t="shared" ref="E23:E28" si="16">+C23</f>
        <v>20</v>
      </c>
      <c r="F23" s="28"/>
      <c r="G23" s="28">
        <f t="shared" ref="G23:G28" si="17">+E23</f>
        <v>20</v>
      </c>
      <c r="I23" s="89" t="s">
        <v>201</v>
      </c>
      <c r="J23" s="91">
        <f t="shared" ref="J23:J28" si="18">+J8*4</f>
        <v>6.666666666666667</v>
      </c>
      <c r="K23" s="28"/>
      <c r="L23" s="91">
        <f t="shared" ref="L23:L28" si="19">J23</f>
        <v>6.666666666666667</v>
      </c>
      <c r="M23" s="28"/>
      <c r="N23" s="91">
        <f t="shared" ref="N23:N28" si="20">L23</f>
        <v>6.666666666666667</v>
      </c>
      <c r="P23" s="89" t="s">
        <v>201</v>
      </c>
      <c r="Q23" s="91">
        <f t="shared" ref="Q23:Q28" si="21">+Q8*4</f>
        <v>5.666666666666667</v>
      </c>
      <c r="R23" s="28"/>
      <c r="S23" s="91">
        <f t="shared" ref="S23:S28" si="22">Q23</f>
        <v>5.666666666666667</v>
      </c>
      <c r="T23" s="91"/>
      <c r="U23" s="91">
        <f t="shared" ref="U23:U28" si="23">S23</f>
        <v>5.666666666666667</v>
      </c>
    </row>
    <row r="24" spans="2:21" x14ac:dyDescent="0.25">
      <c r="B24" s="89" t="s">
        <v>85</v>
      </c>
      <c r="C24" s="28">
        <f t="shared" si="15"/>
        <v>8</v>
      </c>
      <c r="D24" s="28"/>
      <c r="E24" s="28">
        <f t="shared" si="16"/>
        <v>8</v>
      </c>
      <c r="F24" s="28"/>
      <c r="G24" s="28">
        <f t="shared" si="17"/>
        <v>8</v>
      </c>
      <c r="I24" s="89" t="s">
        <v>85</v>
      </c>
      <c r="J24" s="91">
        <f t="shared" si="18"/>
        <v>2.6666666666666665</v>
      </c>
      <c r="K24" s="28"/>
      <c r="L24" s="91">
        <f t="shared" si="19"/>
        <v>2.6666666666666665</v>
      </c>
      <c r="M24" s="28"/>
      <c r="N24" s="91">
        <f t="shared" si="20"/>
        <v>2.6666666666666665</v>
      </c>
      <c r="P24" s="89" t="s">
        <v>85</v>
      </c>
      <c r="Q24" s="91">
        <f t="shared" si="21"/>
        <v>2.2666666666666666</v>
      </c>
      <c r="R24" s="28"/>
      <c r="S24" s="91">
        <f t="shared" si="22"/>
        <v>2.2666666666666666</v>
      </c>
      <c r="T24" s="91"/>
      <c r="U24" s="91">
        <f t="shared" si="23"/>
        <v>2.2666666666666666</v>
      </c>
    </row>
    <row r="25" spans="2:21" x14ac:dyDescent="0.25">
      <c r="B25" s="89" t="s">
        <v>82</v>
      </c>
      <c r="C25" s="28">
        <f t="shared" si="15"/>
        <v>40</v>
      </c>
      <c r="D25" s="28"/>
      <c r="E25" s="28">
        <f t="shared" si="16"/>
        <v>40</v>
      </c>
      <c r="F25" s="28"/>
      <c r="G25" s="28">
        <f t="shared" si="17"/>
        <v>40</v>
      </c>
      <c r="I25" s="89" t="s">
        <v>82</v>
      </c>
      <c r="J25" s="91">
        <f t="shared" si="18"/>
        <v>13.333333333333334</v>
      </c>
      <c r="K25" s="28"/>
      <c r="L25" s="91">
        <f t="shared" si="19"/>
        <v>13.333333333333334</v>
      </c>
      <c r="M25" s="28"/>
      <c r="N25" s="91">
        <f t="shared" si="20"/>
        <v>13.333333333333334</v>
      </c>
      <c r="P25" s="89" t="s">
        <v>82</v>
      </c>
      <c r="Q25" s="91">
        <f t="shared" si="21"/>
        <v>11.333333333333334</v>
      </c>
      <c r="R25" s="28"/>
      <c r="S25" s="91">
        <f t="shared" si="22"/>
        <v>11.333333333333334</v>
      </c>
      <c r="T25" s="91"/>
      <c r="U25" s="91">
        <f t="shared" si="23"/>
        <v>11.333333333333334</v>
      </c>
    </row>
    <row r="26" spans="2:21" x14ac:dyDescent="0.25">
      <c r="B26" s="89" t="s">
        <v>81</v>
      </c>
      <c r="C26" s="28">
        <f t="shared" si="15"/>
        <v>4</v>
      </c>
      <c r="D26" s="28"/>
      <c r="E26" s="28">
        <f t="shared" si="16"/>
        <v>4</v>
      </c>
      <c r="F26" s="28"/>
      <c r="G26" s="28">
        <f t="shared" si="17"/>
        <v>4</v>
      </c>
      <c r="I26" s="89" t="s">
        <v>81</v>
      </c>
      <c r="J26" s="91">
        <f t="shared" si="18"/>
        <v>1.3333333333333333</v>
      </c>
      <c r="K26" s="28"/>
      <c r="L26" s="91">
        <f t="shared" si="19"/>
        <v>1.3333333333333333</v>
      </c>
      <c r="M26" s="28"/>
      <c r="N26" s="91">
        <f t="shared" si="20"/>
        <v>1.3333333333333333</v>
      </c>
      <c r="P26" s="89" t="s">
        <v>81</v>
      </c>
      <c r="Q26" s="91">
        <f t="shared" si="21"/>
        <v>1.1333333333333333</v>
      </c>
      <c r="R26" s="28"/>
      <c r="S26" s="91">
        <f t="shared" si="22"/>
        <v>1.1333333333333333</v>
      </c>
      <c r="T26" s="91"/>
      <c r="U26" s="91">
        <f t="shared" si="23"/>
        <v>1.1333333333333333</v>
      </c>
    </row>
    <row r="27" spans="2:21" x14ac:dyDescent="0.25">
      <c r="B27" s="89" t="s">
        <v>83</v>
      </c>
      <c r="C27" s="28">
        <f t="shared" si="15"/>
        <v>0</v>
      </c>
      <c r="D27" s="28"/>
      <c r="E27" s="28">
        <f t="shared" si="16"/>
        <v>0</v>
      </c>
      <c r="F27" s="28"/>
      <c r="G27" s="28">
        <f t="shared" si="17"/>
        <v>0</v>
      </c>
      <c r="I27" s="89" t="s">
        <v>83</v>
      </c>
      <c r="J27" s="91">
        <f t="shared" si="18"/>
        <v>0</v>
      </c>
      <c r="K27" s="28"/>
      <c r="L27" s="91">
        <f t="shared" si="19"/>
        <v>0</v>
      </c>
      <c r="M27" s="28"/>
      <c r="N27" s="91">
        <f t="shared" si="20"/>
        <v>0</v>
      </c>
      <c r="P27" s="89" t="s">
        <v>83</v>
      </c>
      <c r="Q27" s="91">
        <f t="shared" si="21"/>
        <v>0</v>
      </c>
      <c r="R27" s="28"/>
      <c r="S27" s="91">
        <f t="shared" si="22"/>
        <v>0</v>
      </c>
      <c r="T27" s="91"/>
      <c r="U27" s="91">
        <f t="shared" si="23"/>
        <v>0</v>
      </c>
    </row>
    <row r="28" spans="2:21" x14ac:dyDescent="0.25">
      <c r="B28" s="89" t="s">
        <v>84</v>
      </c>
      <c r="C28" s="28">
        <f t="shared" si="15"/>
        <v>0</v>
      </c>
      <c r="D28" s="28"/>
      <c r="E28" s="28">
        <f t="shared" si="16"/>
        <v>0</v>
      </c>
      <c r="F28" s="28"/>
      <c r="G28" s="28">
        <f t="shared" si="17"/>
        <v>0</v>
      </c>
      <c r="I28" s="89" t="s">
        <v>84</v>
      </c>
      <c r="J28" s="91">
        <f t="shared" si="18"/>
        <v>0</v>
      </c>
      <c r="K28" s="28"/>
      <c r="L28" s="91">
        <f t="shared" si="19"/>
        <v>0</v>
      </c>
      <c r="M28" s="28"/>
      <c r="N28" s="91">
        <f t="shared" si="20"/>
        <v>0</v>
      </c>
      <c r="P28" s="89" t="s">
        <v>84</v>
      </c>
      <c r="Q28" s="91">
        <f t="shared" si="21"/>
        <v>0</v>
      </c>
      <c r="R28" s="28"/>
      <c r="S28" s="91">
        <f t="shared" si="22"/>
        <v>0</v>
      </c>
      <c r="T28" s="91"/>
      <c r="U28" s="91">
        <f t="shared" si="23"/>
        <v>0</v>
      </c>
    </row>
    <row r="29" spans="2:21" x14ac:dyDescent="0.25">
      <c r="B29" s="89" t="s">
        <v>202</v>
      </c>
      <c r="C29" s="28">
        <f>SUM(C22:C28)</f>
        <v>132</v>
      </c>
      <c r="D29" s="28">
        <f t="shared" ref="D29" si="24">SUM(D22:D28)</f>
        <v>0</v>
      </c>
      <c r="E29" s="28">
        <f t="shared" ref="E29" si="25">SUM(E22:E28)</f>
        <v>132</v>
      </c>
      <c r="F29" s="28">
        <f t="shared" ref="F29" si="26">SUM(F22:F28)</f>
        <v>0</v>
      </c>
      <c r="G29" s="28">
        <f t="shared" ref="G29" si="27">SUM(G22:G28)</f>
        <v>132</v>
      </c>
      <c r="I29" s="89" t="s">
        <v>202</v>
      </c>
      <c r="J29" s="28">
        <f>SUM(J22:J28)</f>
        <v>44.000000000000007</v>
      </c>
      <c r="K29" s="28">
        <f t="shared" ref="K29" si="28">SUM(K22:K28)</f>
        <v>0</v>
      </c>
      <c r="L29" s="28">
        <f t="shared" ref="L29" si="29">SUM(L22:L28)</f>
        <v>44.000000000000007</v>
      </c>
      <c r="M29" s="28">
        <f t="shared" ref="M29" si="30">SUM(M22:M28)</f>
        <v>0</v>
      </c>
      <c r="N29" s="28">
        <f t="shared" ref="N29" si="31">SUM(N22:N28)</f>
        <v>44.000000000000007</v>
      </c>
      <c r="P29" s="89" t="s">
        <v>202</v>
      </c>
      <c r="Q29" s="91">
        <f>SUM(Q22:Q28)</f>
        <v>37.4</v>
      </c>
      <c r="R29" s="28">
        <f t="shared" ref="R29" si="32">SUM(R22:R28)</f>
        <v>0</v>
      </c>
      <c r="S29" s="91">
        <f t="shared" ref="S29" si="33">SUM(S22:S28)</f>
        <v>37.4</v>
      </c>
      <c r="T29" s="91">
        <f t="shared" ref="T29" si="34">SUM(T22:T28)</f>
        <v>0</v>
      </c>
      <c r="U29" s="91">
        <f t="shared" ref="U29" si="35">SUM(U22:U28)</f>
        <v>37.4</v>
      </c>
    </row>
  </sheetData>
  <mergeCells count="12">
    <mergeCell ref="S20:T20"/>
    <mergeCell ref="C5:D5"/>
    <mergeCell ref="E5:F5"/>
    <mergeCell ref="J5:K5"/>
    <mergeCell ref="L5:M5"/>
    <mergeCell ref="Q5:R5"/>
    <mergeCell ref="S5:T5"/>
    <mergeCell ref="C20:D20"/>
    <mergeCell ref="E20:F20"/>
    <mergeCell ref="J20:K20"/>
    <mergeCell ref="L20:M20"/>
    <mergeCell ref="Q20:R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G142"/>
  <sheetViews>
    <sheetView workbookViewId="0">
      <selection activeCell="K18" sqref="K18"/>
    </sheetView>
  </sheetViews>
  <sheetFormatPr baseColWidth="10" defaultRowHeight="15" x14ac:dyDescent="0.25"/>
  <cols>
    <col min="1" max="2" width="11.42578125" style="1"/>
    <col min="3" max="3" width="27.42578125" style="1" bestFit="1" customWidth="1"/>
    <col min="4" max="15" width="9" style="1" customWidth="1"/>
    <col min="16" max="16384" width="11.42578125" style="1"/>
  </cols>
  <sheetData>
    <row r="1" spans="3:17" x14ac:dyDescent="0.25">
      <c r="C1" s="96"/>
    </row>
    <row r="2" spans="3:17" x14ac:dyDescent="0.25">
      <c r="C2" s="96"/>
    </row>
    <row r="3" spans="3:17" ht="23.25" x14ac:dyDescent="0.35">
      <c r="C3" s="96"/>
      <c r="E3" s="113" t="s">
        <v>297</v>
      </c>
    </row>
    <row r="4" spans="3:17" x14ac:dyDescent="0.25">
      <c r="C4" s="96"/>
    </row>
    <row r="5" spans="3:17" x14ac:dyDescent="0.25">
      <c r="C5" s="96"/>
      <c r="D5" s="110" t="s">
        <v>260</v>
      </c>
      <c r="E5" s="110" t="s">
        <v>261</v>
      </c>
      <c r="F5" s="110" t="s">
        <v>259</v>
      </c>
      <c r="G5" s="110" t="s">
        <v>255</v>
      </c>
      <c r="H5" s="110" t="s">
        <v>256</v>
      </c>
      <c r="I5" s="110" t="s">
        <v>257</v>
      </c>
      <c r="J5" s="110" t="s">
        <v>258</v>
      </c>
      <c r="K5" s="110" t="s">
        <v>262</v>
      </c>
      <c r="L5" s="110" t="s">
        <v>263</v>
      </c>
      <c r="M5" s="110" t="s">
        <v>264</v>
      </c>
      <c r="N5" s="110" t="s">
        <v>265</v>
      </c>
      <c r="O5" s="110" t="s">
        <v>266</v>
      </c>
      <c r="P5" s="110" t="s">
        <v>202</v>
      </c>
    </row>
    <row r="6" spans="3:17" x14ac:dyDescent="0.25">
      <c r="C6" s="107" t="s">
        <v>294</v>
      </c>
      <c r="D6" s="105">
        <f>IFERROR(VLOOKUP(D$5,$D$94:$E$107,2,FALSE),0)+IFERROR(VLOOKUP(D$5,$F$94:$G$107,2,FALSE),0)+IFERROR(VLOOKUP(D$5,$H$94:$I$107,2,FALSE),0)+IFERROR(VLOOKUP(D$5,$J$94:$K$107,2,FALSE),0)+IFERROR(VLOOKUP(D$5,$L$94:$M$107,2,FALSE),0)+IFERROR(VLOOKUP(D$5,$N$94:$O$107,2,FALSE),0)+IFERROR(VLOOKUP(D$5,$P$94:$Q$107,2,FALSE),0)+IFERROR(VLOOKUP(D$5,$R$94:$S$107,2,FALSE),0)+IFERROR(VLOOKUP(D$5,$T$94:$U$107,2,FALSE),0)+IFERROR(VLOOKUP(D$5,$V$94:$W$107,2,FALSE),0)</f>
        <v>0</v>
      </c>
      <c r="E6" s="105">
        <f t="shared" ref="E6:O6" si="0">IFERROR(VLOOKUP(E$5,$D$94:$E$107,2,FALSE),0)+IFERROR(VLOOKUP(E$5,$F$94:$G$107,2,FALSE),0)+IFERROR(VLOOKUP(E$5,$H$94:$I$107,2,FALSE),0)+IFERROR(VLOOKUP(E$5,$J$94:$K$107,2,FALSE),0)+IFERROR(VLOOKUP(E$5,$L$94:$M$107,2,FALSE),0)+IFERROR(VLOOKUP(E$5,$N$94:$O$107,2,FALSE),0)+IFERROR(VLOOKUP(E$5,$P$94:$Q$107,2,FALSE),0)+IFERROR(VLOOKUP(E$5,$R$94:$S$107,2,FALSE),0)+IFERROR(VLOOKUP(E$5,$T$94:$U$107,2,FALSE),0)+IFERROR(VLOOKUP(E$5,$V$94:$W$107,2,FALSE),0)</f>
        <v>0</v>
      </c>
      <c r="F6" s="105">
        <f t="shared" si="0"/>
        <v>0</v>
      </c>
      <c r="G6" s="105">
        <f t="shared" si="0"/>
        <v>0</v>
      </c>
      <c r="H6" s="105">
        <f t="shared" si="0"/>
        <v>2</v>
      </c>
      <c r="I6" s="105">
        <f t="shared" si="0"/>
        <v>4</v>
      </c>
      <c r="J6" s="105">
        <f t="shared" si="0"/>
        <v>0</v>
      </c>
      <c r="K6" s="105">
        <f t="shared" si="0"/>
        <v>0</v>
      </c>
      <c r="L6" s="105">
        <f t="shared" si="0"/>
        <v>0</v>
      </c>
      <c r="M6" s="105">
        <f t="shared" si="0"/>
        <v>0</v>
      </c>
      <c r="N6" s="105">
        <f t="shared" si="0"/>
        <v>0</v>
      </c>
      <c r="O6" s="105">
        <f t="shared" si="0"/>
        <v>0</v>
      </c>
      <c r="P6" s="111">
        <f>SUM(D6:O6)</f>
        <v>6</v>
      </c>
    </row>
    <row r="7" spans="3:17" x14ac:dyDescent="0.25">
      <c r="C7" s="107" t="s">
        <v>291</v>
      </c>
      <c r="D7" s="106">
        <f t="shared" ref="D7:O7" si="1">IFERROR(VLOOKUP(D$5,$D$37:$E$50,2,FALSE),0)+IFERROR(VLOOKUP(D$5,$F$37:$G$50,2,FALSE),0)+IFERROR(VLOOKUP(D$5,$H$37:$I$50,2,FALSE),0)+IFERROR(VLOOKUP(D$5,$J$37:$K$50,2,FALSE),0)+IFERROR(VLOOKUP(D$5,$L$37:$M$50,2,FALSE),0)+IFERROR(VLOOKUP(D$5,$N$37:$O$50,2,FALSE),0)+IFERROR(VLOOKUP(D$5,$P$37:$Q$50,2,FALSE),0)+IFERROR(VLOOKUP(D$5,$R$37:$S$50,2,FALSE),0)+IFERROR(VLOOKUP(D$5,$T$37:$U$50,2,FALSE),0)+IFERROR(VLOOKUP(D$5,$V$37:$W$50,2,FALSE),0)</f>
        <v>0</v>
      </c>
      <c r="E7" s="106">
        <f t="shared" si="1"/>
        <v>0</v>
      </c>
      <c r="F7" s="106">
        <f t="shared" si="1"/>
        <v>0</v>
      </c>
      <c r="G7" s="106">
        <f t="shared" si="1"/>
        <v>0</v>
      </c>
      <c r="H7" s="106">
        <f t="shared" si="1"/>
        <v>60000</v>
      </c>
      <c r="I7" s="106">
        <f t="shared" si="1"/>
        <v>47000</v>
      </c>
      <c r="J7" s="106">
        <f t="shared" si="1"/>
        <v>0</v>
      </c>
      <c r="K7" s="106">
        <f t="shared" si="1"/>
        <v>0</v>
      </c>
      <c r="L7" s="106">
        <f t="shared" si="1"/>
        <v>0</v>
      </c>
      <c r="M7" s="106">
        <f t="shared" si="1"/>
        <v>0</v>
      </c>
      <c r="N7" s="106">
        <f t="shared" si="1"/>
        <v>0</v>
      </c>
      <c r="O7" s="106">
        <f t="shared" si="1"/>
        <v>0</v>
      </c>
      <c r="P7" s="112">
        <f t="shared" ref="P7:P11" si="2">SUM(D7:O7)</f>
        <v>107000</v>
      </c>
    </row>
    <row r="8" spans="3:17" x14ac:dyDescent="0.25">
      <c r="C8" s="108" t="s">
        <v>295</v>
      </c>
      <c r="D8" s="105">
        <f>IFERROR(VLOOKUP(D$5,$D$118:$E$131,2,FALSE),0)+IFERROR(VLOOKUP(D$5,$F$118:$G$131,2,FALSE),0)+IFERROR(VLOOKUP(D$5,$H$118:$I$131,2,FALSE),0)+IFERROR(VLOOKUP(D$5,$J$118:$K$131,2,FALSE),0)+IFERROR(VLOOKUP(D$5,$L$118:$M$131,2,FALSE),0)+IFERROR(VLOOKUP(D$5,$N$118:$O$131,2,FALSE),0)+IFERROR(VLOOKUP(D$5,$P$118:$Q$131,2,FALSE),0)+IFERROR(VLOOKUP(D$5,$R$118:$S$131,2,FALSE),0)+IFERROR(VLOOKUP(D$5,$T$118:$U$131,2,FALSE),0)+IFERROR(VLOOKUP(D$5,$V$118:$W$131,2,FALSE),0)</f>
        <v>0</v>
      </c>
      <c r="E8" s="105">
        <f t="shared" ref="E8:O8" si="3">IFERROR(VLOOKUP(E$5,$D$118:$E$131,2,FALSE),0)+IFERROR(VLOOKUP(E$5,$F$118:$G$131,2,FALSE),0)+IFERROR(VLOOKUP(E$5,$H$118:$I$131,2,FALSE),0)+IFERROR(VLOOKUP(E$5,$J$118:$K$131,2,FALSE),0)+IFERROR(VLOOKUP(E$5,$L$118:$M$131,2,FALSE),0)+IFERROR(VLOOKUP(E$5,$N$118:$O$131,2,FALSE),0)+IFERROR(VLOOKUP(E$5,$P$118:$Q$131,2,FALSE),0)+IFERROR(VLOOKUP(E$5,$R$118:$S$131,2,FALSE),0)+IFERROR(VLOOKUP(E$5,$T$118:$U$131,2,FALSE),0)+IFERROR(VLOOKUP(E$5,$V$118:$W$131,2,FALSE),0)</f>
        <v>0</v>
      </c>
      <c r="F8" s="105">
        <f t="shared" si="3"/>
        <v>0</v>
      </c>
      <c r="G8" s="105">
        <f t="shared" si="3"/>
        <v>0</v>
      </c>
      <c r="H8" s="105">
        <f t="shared" si="3"/>
        <v>0</v>
      </c>
      <c r="I8" s="105">
        <f t="shared" si="3"/>
        <v>0</v>
      </c>
      <c r="J8" s="105">
        <f t="shared" si="3"/>
        <v>4</v>
      </c>
      <c r="K8" s="105">
        <f t="shared" si="3"/>
        <v>0</v>
      </c>
      <c r="L8" s="105">
        <f t="shared" si="3"/>
        <v>0</v>
      </c>
      <c r="M8" s="105">
        <f t="shared" si="3"/>
        <v>0</v>
      </c>
      <c r="N8" s="105">
        <f t="shared" si="3"/>
        <v>0</v>
      </c>
      <c r="O8" s="105">
        <f t="shared" si="3"/>
        <v>0</v>
      </c>
      <c r="P8" s="111">
        <f t="shared" si="2"/>
        <v>4</v>
      </c>
    </row>
    <row r="9" spans="3:17" x14ac:dyDescent="0.25">
      <c r="C9" s="108" t="s">
        <v>292</v>
      </c>
      <c r="D9" s="106">
        <f t="shared" ref="D9:O9" si="4">IFERROR(VLOOKUP(D$5,$E$60:$E$69,2,FALSE),0)+IFERROR(VLOOKUP(D$5,$F$60:$G$69,2,FALSE),0)+IFERROR(VLOOKUP(D$5,$H$60:$I$69,2,FALSE),0)+IFERROR(VLOOKUP(D$5,$J$60:$K$69,2,FALSE),0)+IFERROR(VLOOKUP(D$5,$L$60:$M$69,2,FALSE),0)+IFERROR(VLOOKUP(D$5,$N$60:$O$69,2,FALSE),0)+IFERROR(VLOOKUP(D$5,$P$60:$Q$69,2,FALSE),0)+IFERROR(VLOOKUP(D$5,$R$60:$S$69,2,FALSE),0)+IFERROR(VLOOKUP(D$5,$T$60:$U$69,2,FALSE),0)+IFERROR(VLOOKUP(D$5,$V$60:$W$69,2,FALSE),0)</f>
        <v>0</v>
      </c>
      <c r="E9" s="106">
        <f t="shared" si="4"/>
        <v>0</v>
      </c>
      <c r="F9" s="106">
        <f t="shared" si="4"/>
        <v>0</v>
      </c>
      <c r="G9" s="106">
        <f t="shared" si="4"/>
        <v>0</v>
      </c>
      <c r="H9" s="106">
        <f t="shared" si="4"/>
        <v>0</v>
      </c>
      <c r="I9" s="106">
        <f t="shared" si="4"/>
        <v>0</v>
      </c>
      <c r="J9" s="106">
        <f t="shared" si="4"/>
        <v>122000</v>
      </c>
      <c r="K9" s="106">
        <f t="shared" si="4"/>
        <v>0</v>
      </c>
      <c r="L9" s="106">
        <f t="shared" si="4"/>
        <v>0</v>
      </c>
      <c r="M9" s="106">
        <f t="shared" si="4"/>
        <v>0</v>
      </c>
      <c r="N9" s="106">
        <f t="shared" si="4"/>
        <v>0</v>
      </c>
      <c r="O9" s="106">
        <f t="shared" si="4"/>
        <v>0</v>
      </c>
      <c r="P9" s="112">
        <f t="shared" si="2"/>
        <v>122000</v>
      </c>
      <c r="Q9" s="104"/>
    </row>
    <row r="10" spans="3:17" x14ac:dyDescent="0.25">
      <c r="C10" s="109" t="s">
        <v>296</v>
      </c>
      <c r="D10" s="105">
        <f>IFERROR(VLOOKUP(D$5,$D$137:$E$150,2,FALSE),0)+IFERROR(VLOOKUP(D$5,$F$137:$G$150,2,FALSE),0)+IFERROR(VLOOKUP(D$5,$H$137:$I$150,2,FALSE),0)+IFERROR(VLOOKUP(D$5,$J$137:$K$150,2,FALSE),0)+IFERROR(VLOOKUP(D$5,$L$137:$M$150,2,FALSE),0)+IFERROR(VLOOKUP(D$5,$N$137:$O$150,2,FALSE),0)+IFERROR(VLOOKUP(D$5,$P$137:$Q$150,2,FALSE),0)+IFERROR(VLOOKUP(D$5,$R$137:$S$150,2,FALSE),0)+IFERROR(VLOOKUP(D$5,$T$137:$U$150,2,FALSE),0)+IFERROR(VLOOKUP(D$5,$V$137:$W$150,2,FALSE),0)</f>
        <v>0</v>
      </c>
      <c r="E10" s="105">
        <f t="shared" ref="E10:O10" si="5">IFERROR(VLOOKUP(E$5,$D$137:$E$150,2,FALSE),0)+IFERROR(VLOOKUP(E$5,$F$137:$G$150,2,FALSE),0)+IFERROR(VLOOKUP(E$5,$H$137:$I$150,2,FALSE),0)+IFERROR(VLOOKUP(E$5,$J$137:$K$150,2,FALSE),0)+IFERROR(VLOOKUP(E$5,$L$137:$M$150,2,FALSE),0)+IFERROR(VLOOKUP(E$5,$N$137:$O$150,2,FALSE),0)+IFERROR(VLOOKUP(E$5,$P$137:$Q$150,2,FALSE),0)+IFERROR(VLOOKUP(E$5,$R$137:$S$150,2,FALSE),0)+IFERROR(VLOOKUP(E$5,$T$137:$U$150,2,FALSE),0)+IFERROR(VLOOKUP(E$5,$V$137:$W$150,2,FALSE),0)</f>
        <v>0</v>
      </c>
      <c r="F10" s="105">
        <f t="shared" si="5"/>
        <v>0</v>
      </c>
      <c r="G10" s="105">
        <f t="shared" si="5"/>
        <v>7</v>
      </c>
      <c r="H10" s="105">
        <f t="shared" si="5"/>
        <v>12</v>
      </c>
      <c r="I10" s="105">
        <f>IFERROR(VLOOKUP(I$5,$D$137:$E$150,2,FALSE),0)+IFERROR(VLOOKUP(I$5,$F$137:$G$150,2,FALSE),0)+IFERROR(VLOOKUP(I$5,$H$137:$I$150,2,FALSE),0)+IFERROR(VLOOKUP(I$5,$J$137:$K$150,2,FALSE),0)+IFERROR(VLOOKUP(I$5,$L$137:$M$150,2,FALSE),0)+IFERROR(VLOOKUP(I$5,$N$137:$O$150,2,FALSE),0)+IFERROR(VLOOKUP(I$5,$P$137:$Q$150,2,FALSE),0)+IFERROR(VLOOKUP(I$5,$R$137:$S$150,2,FALSE),0)+IFERROR(VLOOKUP(I$5,$T$137:$U$150,2,FALSE),0)+IFERROR(VLOOKUP(I$5,$V$137:$W$150,2,FALSE),0)</f>
        <v>9</v>
      </c>
      <c r="J10" s="105">
        <f t="shared" si="5"/>
        <v>2</v>
      </c>
      <c r="K10" s="105">
        <f t="shared" si="5"/>
        <v>0</v>
      </c>
      <c r="L10" s="105">
        <f t="shared" si="5"/>
        <v>0</v>
      </c>
      <c r="M10" s="105">
        <f t="shared" si="5"/>
        <v>0</v>
      </c>
      <c r="N10" s="105">
        <f t="shared" si="5"/>
        <v>0</v>
      </c>
      <c r="O10" s="105">
        <f t="shared" si="5"/>
        <v>0</v>
      </c>
      <c r="P10" s="111">
        <f t="shared" si="2"/>
        <v>30</v>
      </c>
    </row>
    <row r="11" spans="3:17" x14ac:dyDescent="0.25">
      <c r="C11" s="109" t="s">
        <v>293</v>
      </c>
      <c r="D11" s="106">
        <f t="shared" ref="D11:O11" si="6">IFERROR(VLOOKUP(D$5,$D$80:$E$93,2,FALSE),0)+IFERROR(VLOOKUP(D$5,$F$80:$G$93,2,FALSE),0)+IFERROR(VLOOKUP(D$5,$H$80:$I$93,2,FALSE),0)+IFERROR(VLOOKUP(D$5,$J$80:$K$93,2,FALSE),0)+IFERROR(VLOOKUP(D$5,$L$80:$M$93,2,FALSE),0)+IFERROR(VLOOKUP(D$5,$N$80:$O$93,2,FALSE),0)+IFERROR(VLOOKUP(D$5,$P$80:$Q$93,2,FALSE),0)+IFERROR(VLOOKUP(D$5,$R$80:$S$93,2,FALSE),0)+IFERROR(VLOOKUP(D$5,$T$80:$U$93,2,FALSE),0)+IFERROR(VLOOKUP(D$5,$V$80:$W$93,2,FALSE),0)</f>
        <v>0</v>
      </c>
      <c r="E11" s="106">
        <f t="shared" si="6"/>
        <v>0</v>
      </c>
      <c r="F11" s="106">
        <f t="shared" si="6"/>
        <v>0</v>
      </c>
      <c r="G11" s="106">
        <f t="shared" si="6"/>
        <v>287000</v>
      </c>
      <c r="H11" s="106">
        <f t="shared" si="6"/>
        <v>1007000</v>
      </c>
      <c r="I11" s="106">
        <f t="shared" si="6"/>
        <v>425000</v>
      </c>
      <c r="J11" s="106">
        <f t="shared" si="6"/>
        <v>20000</v>
      </c>
      <c r="K11" s="106">
        <f t="shared" si="6"/>
        <v>0</v>
      </c>
      <c r="L11" s="106">
        <f t="shared" si="6"/>
        <v>0</v>
      </c>
      <c r="M11" s="106">
        <f t="shared" si="6"/>
        <v>0</v>
      </c>
      <c r="N11" s="106">
        <f t="shared" si="6"/>
        <v>0</v>
      </c>
      <c r="O11" s="106">
        <f t="shared" si="6"/>
        <v>0</v>
      </c>
      <c r="P11" s="112">
        <f t="shared" si="2"/>
        <v>1739000</v>
      </c>
      <c r="Q11" s="104"/>
    </row>
    <row r="12" spans="3:17" x14ac:dyDescent="0.25">
      <c r="C12" s="96"/>
    </row>
    <row r="13" spans="3:17" x14ac:dyDescent="0.25">
      <c r="C13" s="97"/>
    </row>
    <row r="27" spans="4:33" x14ac:dyDescent="0.25">
      <c r="F27"/>
      <c r="G27"/>
      <c r="H27"/>
      <c r="I27"/>
      <c r="J27"/>
      <c r="K27"/>
      <c r="L27"/>
    </row>
    <row r="28" spans="4:33" x14ac:dyDescent="0.25">
      <c r="F28"/>
      <c r="G28"/>
      <c r="H28"/>
    </row>
    <row r="29" spans="4:33" x14ac:dyDescent="0.25">
      <c r="F29"/>
      <c r="G29"/>
    </row>
    <row r="30" spans="4:33" x14ac:dyDescent="0.25">
      <c r="F30"/>
      <c r="J30"/>
    </row>
    <row r="31" spans="4:33" x14ac:dyDescent="0.25">
      <c r="N31"/>
      <c r="O31"/>
      <c r="P31"/>
      <c r="Q31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 spans="4:33" x14ac:dyDescent="0.25">
      <c r="D32" s="27" t="s">
        <v>35</v>
      </c>
      <c r="E32" s="77" t="s">
        <v>162</v>
      </c>
      <c r="F32" s="27" t="s">
        <v>35</v>
      </c>
      <c r="G32" s="77" t="s">
        <v>162</v>
      </c>
      <c r="H32" s="27" t="s">
        <v>35</v>
      </c>
      <c r="I32" s="77" t="s">
        <v>162</v>
      </c>
      <c r="J32" s="27" t="s">
        <v>35</v>
      </c>
      <c r="K32" s="77" t="s">
        <v>162</v>
      </c>
      <c r="L32" s="27" t="s">
        <v>35</v>
      </c>
      <c r="M32" s="77" t="s">
        <v>162</v>
      </c>
      <c r="N32" s="27" t="s">
        <v>35</v>
      </c>
      <c r="O32" s="77" t="s">
        <v>162</v>
      </c>
      <c r="P32" s="27" t="s">
        <v>35</v>
      </c>
      <c r="Q32" s="77" t="s">
        <v>162</v>
      </c>
      <c r="R32" s="27" t="s">
        <v>35</v>
      </c>
      <c r="S32" s="77" t="s">
        <v>162</v>
      </c>
      <c r="T32" s="27" t="s">
        <v>35</v>
      </c>
      <c r="U32" s="77" t="s">
        <v>162</v>
      </c>
      <c r="V32" s="27" t="s">
        <v>35</v>
      </c>
      <c r="W32" s="77" t="s">
        <v>162</v>
      </c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 spans="4:33" x14ac:dyDescent="0.25">
      <c r="D33" s="27" t="s">
        <v>239</v>
      </c>
      <c r="E33" s="27" t="s">
        <v>251</v>
      </c>
      <c r="F33" s="27" t="s">
        <v>240</v>
      </c>
      <c r="G33" s="27" t="s">
        <v>251</v>
      </c>
      <c r="H33" s="27" t="s">
        <v>241</v>
      </c>
      <c r="I33" s="27" t="s">
        <v>251</v>
      </c>
      <c r="J33" s="27" t="s">
        <v>242</v>
      </c>
      <c r="K33" s="27" t="s">
        <v>251</v>
      </c>
      <c r="L33" s="27" t="s">
        <v>243</v>
      </c>
      <c r="M33" s="27" t="s">
        <v>272</v>
      </c>
      <c r="N33" s="27" t="s">
        <v>244</v>
      </c>
      <c r="O33" s="27" t="s">
        <v>272</v>
      </c>
      <c r="P33" s="27" t="s">
        <v>245</v>
      </c>
      <c r="Q33" s="27" t="s">
        <v>41</v>
      </c>
      <c r="R33" s="27" t="s">
        <v>246</v>
      </c>
      <c r="S33" s="27" t="s">
        <v>272</v>
      </c>
      <c r="T33" s="27" t="s">
        <v>247</v>
      </c>
      <c r="U33" s="27" t="s">
        <v>41</v>
      </c>
      <c r="V33" s="27" t="s">
        <v>248</v>
      </c>
      <c r="W33" s="27" t="s">
        <v>41</v>
      </c>
      <c r="X33" s="99"/>
      <c r="Y33" s="99"/>
      <c r="Z33" s="99"/>
      <c r="AA33" s="99"/>
      <c r="AB33" s="99"/>
      <c r="AC33" s="99"/>
      <c r="AD33" s="99"/>
      <c r="AE33" s="99"/>
      <c r="AF33" s="99"/>
      <c r="AG33" s="16"/>
    </row>
    <row r="34" spans="4:33" x14ac:dyDescent="0.25"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 spans="4:33" x14ac:dyDescent="0.25">
      <c r="D35" s="27" t="s">
        <v>271</v>
      </c>
      <c r="E35" s="27"/>
      <c r="F35" s="27" t="s">
        <v>274</v>
      </c>
      <c r="G35" s="27"/>
      <c r="H35" s="27" t="s">
        <v>276</v>
      </c>
      <c r="I35" s="27"/>
      <c r="J35" s="27" t="s">
        <v>278</v>
      </c>
      <c r="K35" s="27"/>
      <c r="L35" s="27" t="s">
        <v>280</v>
      </c>
      <c r="M35" s="27"/>
      <c r="N35" s="27" t="s">
        <v>282</v>
      </c>
      <c r="O35" s="27"/>
      <c r="P35" s="27" t="s">
        <v>286</v>
      </c>
      <c r="Q35" s="27"/>
      <c r="R35" s="27" t="s">
        <v>287</v>
      </c>
      <c r="S35" s="27"/>
      <c r="T35" s="27" t="s">
        <v>288</v>
      </c>
      <c r="U35" s="27"/>
      <c r="V35" s="27" t="s">
        <v>290</v>
      </c>
      <c r="W35" s="27"/>
      <c r="X35"/>
      <c r="Y35"/>
      <c r="Z35"/>
      <c r="AA35"/>
      <c r="AB35"/>
      <c r="AC35"/>
      <c r="AD35" s="99"/>
      <c r="AE35" s="99"/>
      <c r="AF35" s="99"/>
      <c r="AG35" s="16"/>
    </row>
    <row r="36" spans="4:33" x14ac:dyDescent="0.25">
      <c r="D36" s="27" t="s">
        <v>219</v>
      </c>
      <c r="E36" s="54" t="s">
        <v>267</v>
      </c>
      <c r="F36" s="27" t="s">
        <v>220</v>
      </c>
      <c r="G36" s="54" t="s">
        <v>267</v>
      </c>
      <c r="H36" s="27" t="s">
        <v>221</v>
      </c>
      <c r="I36" s="54" t="s">
        <v>267</v>
      </c>
      <c r="J36" s="27" t="s">
        <v>222</v>
      </c>
      <c r="K36" s="54" t="s">
        <v>267</v>
      </c>
      <c r="L36" s="27" t="s">
        <v>223</v>
      </c>
      <c r="M36" s="54" t="s">
        <v>267</v>
      </c>
      <c r="N36" s="27" t="s">
        <v>224</v>
      </c>
      <c r="O36" s="54" t="s">
        <v>267</v>
      </c>
      <c r="P36" s="27" t="s">
        <v>225</v>
      </c>
      <c r="Q36" s="54" t="s">
        <v>267</v>
      </c>
      <c r="R36" s="27" t="s">
        <v>226</v>
      </c>
      <c r="S36" s="54" t="s">
        <v>267</v>
      </c>
      <c r="T36" s="27" t="s">
        <v>227</v>
      </c>
      <c r="U36" s="54" t="s">
        <v>267</v>
      </c>
      <c r="V36" s="27" t="s">
        <v>228</v>
      </c>
      <c r="W36" s="54" t="s">
        <v>267</v>
      </c>
      <c r="X36"/>
      <c r="Y36"/>
      <c r="Z36"/>
      <c r="AA36"/>
      <c r="AB36"/>
      <c r="AC36"/>
      <c r="AD36" s="101"/>
      <c r="AE36" s="99"/>
      <c r="AF36" s="101"/>
      <c r="AG36" s="16"/>
    </row>
    <row r="37" spans="4:33" x14ac:dyDescent="0.25">
      <c r="D37" s="27" t="s">
        <v>257</v>
      </c>
      <c r="E37" s="29">
        <v>10000</v>
      </c>
      <c r="F37" s="27" t="s">
        <v>257</v>
      </c>
      <c r="G37" s="29">
        <v>27000</v>
      </c>
      <c r="H37" s="27" t="s">
        <v>256</v>
      </c>
      <c r="I37" s="29">
        <v>50000</v>
      </c>
      <c r="J37" s="27" t="s">
        <v>256</v>
      </c>
      <c r="K37" s="29">
        <v>10000</v>
      </c>
      <c r="L37" s="27"/>
      <c r="M37" s="29"/>
      <c r="N37" s="27"/>
      <c r="O37" s="29"/>
      <c r="P37" s="27"/>
      <c r="Q37" s="29"/>
      <c r="R37" s="27"/>
      <c r="S37" s="29"/>
      <c r="T37" s="27"/>
      <c r="U37" s="29"/>
      <c r="V37" s="27"/>
      <c r="W37" s="29"/>
      <c r="X37"/>
      <c r="Y37"/>
      <c r="Z37"/>
      <c r="AA37"/>
      <c r="AB37"/>
      <c r="AC37"/>
      <c r="AD37" s="100"/>
      <c r="AE37" s="99"/>
      <c r="AF37" s="100"/>
      <c r="AG37" s="16"/>
    </row>
    <row r="38" spans="4:33" x14ac:dyDescent="0.25">
      <c r="D38" s="53" t="s">
        <v>30</v>
      </c>
      <c r="E38" s="52">
        <v>10000</v>
      </c>
      <c r="F38" s="53" t="s">
        <v>30</v>
      </c>
      <c r="G38" s="52">
        <v>27000</v>
      </c>
      <c r="H38" s="53" t="s">
        <v>30</v>
      </c>
      <c r="I38" s="52">
        <v>50000</v>
      </c>
      <c r="J38" s="27" t="s">
        <v>257</v>
      </c>
      <c r="K38" s="29">
        <v>10000</v>
      </c>
      <c r="L38" s="53" t="s">
        <v>30</v>
      </c>
      <c r="M38" s="52"/>
      <c r="N38" s="53" t="s">
        <v>30</v>
      </c>
      <c r="O38" s="52"/>
      <c r="P38" s="53" t="s">
        <v>30</v>
      </c>
      <c r="Q38" s="52"/>
      <c r="R38" s="53" t="s">
        <v>30</v>
      </c>
      <c r="S38" s="52"/>
      <c r="T38" s="53" t="s">
        <v>30</v>
      </c>
      <c r="U38" s="52"/>
      <c r="V38" s="53" t="s">
        <v>30</v>
      </c>
      <c r="W38" s="52"/>
      <c r="X38"/>
      <c r="Y38"/>
      <c r="Z38"/>
      <c r="AA38"/>
      <c r="AB38"/>
      <c r="AC38"/>
      <c r="AD38" s="103"/>
      <c r="AE38" s="102"/>
      <c r="AF38" s="103"/>
      <c r="AG38" s="16"/>
    </row>
    <row r="39" spans="4:33" x14ac:dyDescent="0.25">
      <c r="D39"/>
      <c r="E39"/>
      <c r="F39"/>
      <c r="G39"/>
      <c r="H39"/>
      <c r="I39"/>
      <c r="J39" s="53" t="s">
        <v>30</v>
      </c>
      <c r="K39" s="52">
        <v>20000</v>
      </c>
      <c r="L39"/>
      <c r="M39"/>
      <c r="N39"/>
      <c r="O39"/>
      <c r="P39"/>
      <c r="Q39"/>
      <c r="R39"/>
      <c r="S39"/>
      <c r="T39"/>
      <c r="U39"/>
      <c r="V39"/>
      <c r="W39"/>
      <c r="X39" s="103"/>
      <c r="Y39" s="16"/>
      <c r="Z39" s="16"/>
      <c r="AA39" s="16"/>
      <c r="AB39" s="16"/>
      <c r="AC39" s="16"/>
      <c r="AD39" s="16"/>
      <c r="AE39" s="16"/>
      <c r="AF39" s="16"/>
      <c r="AG39" s="16"/>
    </row>
    <row r="40" spans="4:33" x14ac:dyDescent="0.25"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 spans="4:33" x14ac:dyDescent="0.25"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 s="103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 spans="4:33" x14ac:dyDescent="0.25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</row>
    <row r="43" spans="4:33" x14ac:dyDescent="0.25">
      <c r="F43"/>
      <c r="G43"/>
      <c r="H43"/>
      <c r="I43"/>
      <c r="J43"/>
      <c r="K43"/>
      <c r="L43"/>
      <c r="M43"/>
      <c r="N43"/>
      <c r="O43"/>
    </row>
    <row r="44" spans="4:33" x14ac:dyDescent="0.25">
      <c r="F44"/>
      <c r="G44"/>
      <c r="H44"/>
      <c r="I44"/>
      <c r="J44"/>
      <c r="K44"/>
      <c r="L44"/>
      <c r="M44"/>
      <c r="N44"/>
      <c r="O44"/>
    </row>
    <row r="45" spans="4:33" x14ac:dyDescent="0.25">
      <c r="F45"/>
      <c r="G45"/>
      <c r="H45"/>
      <c r="I45"/>
      <c r="J45"/>
      <c r="K45"/>
      <c r="L45"/>
      <c r="M45"/>
      <c r="N45"/>
      <c r="O45"/>
    </row>
    <row r="46" spans="4:33" x14ac:dyDescent="0.25">
      <c r="F46"/>
      <c r="G46"/>
      <c r="H46"/>
      <c r="I46"/>
      <c r="J46"/>
      <c r="K46"/>
      <c r="L46"/>
      <c r="M46"/>
      <c r="N46"/>
      <c r="O46"/>
    </row>
    <row r="47" spans="4:33" x14ac:dyDescent="0.25">
      <c r="F47"/>
      <c r="G47"/>
      <c r="H47"/>
      <c r="I47"/>
      <c r="J47"/>
      <c r="K47"/>
      <c r="L47"/>
      <c r="M47"/>
      <c r="N47"/>
    </row>
    <row r="48" spans="4:33" x14ac:dyDescent="0.25">
      <c r="F48"/>
      <c r="G48"/>
      <c r="H48"/>
      <c r="I48"/>
      <c r="J48"/>
      <c r="K48"/>
      <c r="L48"/>
      <c r="M48"/>
      <c r="N48"/>
    </row>
    <row r="49" spans="4:33" x14ac:dyDescent="0.25">
      <c r="F49"/>
      <c r="G49"/>
      <c r="H49"/>
      <c r="I49"/>
      <c r="J49"/>
      <c r="K49"/>
      <c r="L49"/>
      <c r="M49"/>
      <c r="N49"/>
    </row>
    <row r="50" spans="4:33" x14ac:dyDescent="0.25">
      <c r="F50"/>
      <c r="G50"/>
      <c r="H50"/>
      <c r="I50"/>
      <c r="J50"/>
      <c r="K50"/>
      <c r="L50"/>
      <c r="M50"/>
      <c r="N50"/>
    </row>
    <row r="51" spans="4:33" x14ac:dyDescent="0.25">
      <c r="F51"/>
      <c r="G51"/>
      <c r="H51"/>
      <c r="I51"/>
      <c r="J51"/>
      <c r="K51"/>
      <c r="L51"/>
      <c r="M51"/>
      <c r="N51"/>
    </row>
    <row r="54" spans="4:33" x14ac:dyDescent="0.25">
      <c r="D54" s="1" t="s">
        <v>268</v>
      </c>
    </row>
    <row r="55" spans="4:33" x14ac:dyDescent="0.25"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4:33" x14ac:dyDescent="0.25">
      <c r="D56" s="27" t="s">
        <v>35</v>
      </c>
      <c r="E56" s="77" t="s">
        <v>162</v>
      </c>
      <c r="F56" s="27" t="s">
        <v>35</v>
      </c>
      <c r="G56" s="77" t="s">
        <v>162</v>
      </c>
      <c r="H56" s="27" t="s">
        <v>35</v>
      </c>
      <c r="I56" s="77" t="s">
        <v>162</v>
      </c>
      <c r="J56" s="27" t="s">
        <v>35</v>
      </c>
      <c r="K56" s="77" t="s">
        <v>162</v>
      </c>
      <c r="L56" s="27" t="s">
        <v>35</v>
      </c>
      <c r="M56" s="77" t="s">
        <v>162</v>
      </c>
      <c r="N56" s="27" t="s">
        <v>35</v>
      </c>
      <c r="O56" s="77" t="s">
        <v>162</v>
      </c>
      <c r="P56" s="27" t="s">
        <v>35</v>
      </c>
      <c r="Q56" s="77" t="s">
        <v>162</v>
      </c>
      <c r="R56" s="27" t="s">
        <v>35</v>
      </c>
      <c r="S56" s="77" t="s">
        <v>162</v>
      </c>
      <c r="T56" s="27" t="s">
        <v>35</v>
      </c>
      <c r="U56" s="77" t="s">
        <v>162</v>
      </c>
      <c r="V56" s="27" t="s">
        <v>35</v>
      </c>
      <c r="W56" s="77" t="s">
        <v>162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 spans="4:33" x14ac:dyDescent="0.25">
      <c r="D57" s="27" t="s">
        <v>239</v>
      </c>
      <c r="E57" s="27" t="s">
        <v>272</v>
      </c>
      <c r="F57" s="27" t="s">
        <v>240</v>
      </c>
      <c r="G57" s="27" t="s">
        <v>249</v>
      </c>
      <c r="H57" s="27" t="s">
        <v>241</v>
      </c>
      <c r="I57" s="27" t="s">
        <v>272</v>
      </c>
      <c r="J57" s="27" t="s">
        <v>242</v>
      </c>
      <c r="K57" s="27" t="s">
        <v>272</v>
      </c>
      <c r="L57" s="27" t="s">
        <v>243</v>
      </c>
      <c r="M57" s="27" t="s">
        <v>249</v>
      </c>
      <c r="N57" s="27" t="s">
        <v>244</v>
      </c>
      <c r="O57" s="27" t="s">
        <v>249</v>
      </c>
      <c r="P57" s="27" t="s">
        <v>245</v>
      </c>
      <c r="Q57" s="27" t="s">
        <v>41</v>
      </c>
      <c r="R57" s="27" t="s">
        <v>246</v>
      </c>
      <c r="S57" s="27" t="s">
        <v>41</v>
      </c>
      <c r="T57" s="27" t="s">
        <v>247</v>
      </c>
      <c r="U57" s="27" t="s">
        <v>41</v>
      </c>
      <c r="V57" s="27" t="s">
        <v>248</v>
      </c>
      <c r="W57" s="27" t="s">
        <v>41</v>
      </c>
      <c r="X57" s="99"/>
      <c r="Y57" s="99"/>
      <c r="Z57" s="99"/>
      <c r="AA57" s="99"/>
      <c r="AB57" s="99"/>
      <c r="AC57" s="99"/>
      <c r="AD57" s="99"/>
      <c r="AE57" s="99"/>
      <c r="AF57" s="99"/>
      <c r="AG57" s="16"/>
    </row>
    <row r="58" spans="4:33" x14ac:dyDescent="0.25"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59" spans="4:33" x14ac:dyDescent="0.25">
      <c r="D59" s="27" t="s">
        <v>271</v>
      </c>
      <c r="E59" s="27"/>
      <c r="F59" s="27" t="s">
        <v>274</v>
      </c>
      <c r="G59" s="27"/>
      <c r="H59" s="27" t="s">
        <v>276</v>
      </c>
      <c r="I59" s="27"/>
      <c r="J59" s="27" t="s">
        <v>278</v>
      </c>
      <c r="K59" s="27"/>
      <c r="L59" s="27" t="s">
        <v>280</v>
      </c>
      <c r="M59" s="27"/>
      <c r="N59" s="27" t="s">
        <v>282</v>
      </c>
      <c r="O59" s="27"/>
      <c r="P59" s="27" t="s">
        <v>286</v>
      </c>
      <c r="Q59" s="27"/>
      <c r="R59" s="27" t="s">
        <v>287</v>
      </c>
      <c r="S59" s="27"/>
      <c r="T59" s="27" t="s">
        <v>288</v>
      </c>
      <c r="U59" s="27"/>
      <c r="V59" s="27" t="s">
        <v>290</v>
      </c>
      <c r="W59" s="27"/>
      <c r="X59"/>
      <c r="Y59"/>
      <c r="Z59"/>
      <c r="AA59"/>
      <c r="AB59"/>
      <c r="AC59"/>
      <c r="AD59" s="99"/>
      <c r="AE59" s="99"/>
      <c r="AF59" s="99"/>
      <c r="AG59" s="16"/>
    </row>
    <row r="60" spans="4:33" x14ac:dyDescent="0.25">
      <c r="D60" s="27" t="s">
        <v>219</v>
      </c>
      <c r="E60" s="54" t="s">
        <v>267</v>
      </c>
      <c r="F60" s="27" t="s">
        <v>220</v>
      </c>
      <c r="G60" s="54" t="s">
        <v>267</v>
      </c>
      <c r="H60" s="27" t="s">
        <v>221</v>
      </c>
      <c r="I60" s="54" t="s">
        <v>267</v>
      </c>
      <c r="J60" s="27" t="s">
        <v>222</v>
      </c>
      <c r="K60" s="54" t="s">
        <v>267</v>
      </c>
      <c r="L60" s="27" t="s">
        <v>223</v>
      </c>
      <c r="M60" s="54" t="s">
        <v>267</v>
      </c>
      <c r="N60" s="27" t="s">
        <v>224</v>
      </c>
      <c r="O60" s="54" t="s">
        <v>267</v>
      </c>
      <c r="P60" s="27" t="s">
        <v>225</v>
      </c>
      <c r="Q60" s="54" t="s">
        <v>267</v>
      </c>
      <c r="R60" s="27" t="s">
        <v>226</v>
      </c>
      <c r="S60" s="54" t="s">
        <v>267</v>
      </c>
      <c r="T60" s="27" t="s">
        <v>227</v>
      </c>
      <c r="U60" s="54" t="s">
        <v>267</v>
      </c>
      <c r="V60" s="27" t="s">
        <v>228</v>
      </c>
      <c r="W60" s="54" t="s">
        <v>267</v>
      </c>
      <c r="X60"/>
      <c r="Y60"/>
      <c r="Z60"/>
      <c r="AA60"/>
      <c r="AB60"/>
      <c r="AC60"/>
      <c r="AD60" s="101"/>
      <c r="AE60" s="99"/>
      <c r="AF60" s="101"/>
      <c r="AG60" s="16"/>
    </row>
    <row r="61" spans="4:33" x14ac:dyDescent="0.25">
      <c r="D61" s="53" t="s">
        <v>30</v>
      </c>
      <c r="E61" s="52"/>
      <c r="F61" s="27" t="s">
        <v>258</v>
      </c>
      <c r="G61" s="29">
        <v>12000</v>
      </c>
      <c r="H61" s="27"/>
      <c r="I61" s="29"/>
      <c r="J61" s="27"/>
      <c r="K61" s="29"/>
      <c r="L61" s="27" t="s">
        <v>258</v>
      </c>
      <c r="M61" s="29">
        <v>100000</v>
      </c>
      <c r="N61" s="27" t="s">
        <v>258</v>
      </c>
      <c r="O61" s="29">
        <v>10000</v>
      </c>
      <c r="P61" s="27"/>
      <c r="Q61" s="29"/>
      <c r="R61" s="27"/>
      <c r="S61" s="29"/>
      <c r="T61" s="27"/>
      <c r="U61" s="29"/>
      <c r="V61" s="27"/>
      <c r="W61" s="29"/>
      <c r="X61"/>
      <c r="Y61"/>
      <c r="Z61"/>
      <c r="AA61"/>
      <c r="AB61"/>
      <c r="AC61"/>
      <c r="AD61" s="100"/>
      <c r="AE61" s="99"/>
      <c r="AF61" s="100"/>
      <c r="AG61" s="16"/>
    </row>
    <row r="62" spans="4:33" x14ac:dyDescent="0.25">
      <c r="D62"/>
      <c r="E62"/>
      <c r="F62" s="53" t="s">
        <v>30</v>
      </c>
      <c r="G62" s="52">
        <v>12000</v>
      </c>
      <c r="H62" s="53" t="s">
        <v>30</v>
      </c>
      <c r="I62" s="52"/>
      <c r="J62" s="53" t="s">
        <v>30</v>
      </c>
      <c r="K62" s="52"/>
      <c r="L62" s="53" t="s">
        <v>30</v>
      </c>
      <c r="M62" s="52">
        <v>100000</v>
      </c>
      <c r="N62" s="53" t="s">
        <v>30</v>
      </c>
      <c r="O62" s="52">
        <v>10000</v>
      </c>
      <c r="P62" s="53" t="s">
        <v>30</v>
      </c>
      <c r="Q62" s="52"/>
      <c r="R62" s="53" t="s">
        <v>30</v>
      </c>
      <c r="S62" s="52"/>
      <c r="T62" s="53" t="s">
        <v>30</v>
      </c>
      <c r="U62" s="52"/>
      <c r="V62" s="53" t="s">
        <v>30</v>
      </c>
      <c r="W62" s="52"/>
      <c r="X62"/>
      <c r="Y62"/>
      <c r="Z62"/>
      <c r="AA62"/>
      <c r="AB62"/>
      <c r="AC62"/>
      <c r="AD62" s="103"/>
      <c r="AE62" s="102"/>
      <c r="AF62" s="103"/>
      <c r="AG62" s="16"/>
    </row>
    <row r="63" spans="4:33" x14ac:dyDescent="0.25"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103"/>
      <c r="Y63" s="16"/>
      <c r="Z63" s="16"/>
      <c r="AA63" s="16"/>
      <c r="AB63" s="16"/>
      <c r="AC63" s="16"/>
      <c r="AD63" s="16"/>
      <c r="AE63" s="16"/>
      <c r="AF63" s="16"/>
      <c r="AG63" s="16"/>
    </row>
    <row r="64" spans="4:33" x14ac:dyDescent="0.25"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16"/>
      <c r="Y64" s="16"/>
      <c r="Z64" s="16"/>
      <c r="AA64" s="16"/>
      <c r="AB64" s="16"/>
      <c r="AC64" s="16"/>
      <c r="AD64" s="16"/>
      <c r="AE64" s="16"/>
      <c r="AF64" s="16"/>
      <c r="AG64" s="16"/>
    </row>
    <row r="65" spans="4:33" x14ac:dyDescent="0.25"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 s="103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</row>
    <row r="66" spans="4:33" x14ac:dyDescent="0.25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</row>
    <row r="70" spans="4:33" x14ac:dyDescent="0.25">
      <c r="D70"/>
      <c r="E70"/>
      <c r="F70"/>
      <c r="G70"/>
      <c r="H70"/>
      <c r="I70"/>
      <c r="J70"/>
    </row>
    <row r="71" spans="4:33" x14ac:dyDescent="0.25">
      <c r="D71"/>
      <c r="E71"/>
      <c r="F71"/>
      <c r="G71"/>
      <c r="H71"/>
      <c r="I71"/>
      <c r="J71"/>
    </row>
    <row r="73" spans="4:33" x14ac:dyDescent="0.25">
      <c r="D73" s="1" t="s">
        <v>269</v>
      </c>
      <c r="F73" s="1">
        <v>2</v>
      </c>
      <c r="H73" s="1">
        <v>3</v>
      </c>
      <c r="J73" s="1">
        <v>4</v>
      </c>
      <c r="L73" s="1">
        <v>5</v>
      </c>
      <c r="N73" s="1">
        <v>6</v>
      </c>
      <c r="P73" s="1">
        <v>7</v>
      </c>
      <c r="R73" s="1">
        <v>8</v>
      </c>
      <c r="T73" s="1">
        <v>9</v>
      </c>
      <c r="V73" s="1">
        <v>10</v>
      </c>
    </row>
    <row r="74" spans="4:33" x14ac:dyDescent="0.25"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4:33" x14ac:dyDescent="0.25">
      <c r="D75" s="27" t="s">
        <v>35</v>
      </c>
      <c r="E75" s="77" t="s">
        <v>162</v>
      </c>
      <c r="F75" s="27" t="s">
        <v>35</v>
      </c>
      <c r="G75" s="77" t="s">
        <v>162</v>
      </c>
      <c r="H75" s="27" t="s">
        <v>35</v>
      </c>
      <c r="I75" s="77" t="s">
        <v>162</v>
      </c>
      <c r="J75" s="27" t="s">
        <v>35</v>
      </c>
      <c r="K75" s="77" t="s">
        <v>162</v>
      </c>
      <c r="L75" s="27" t="s">
        <v>35</v>
      </c>
      <c r="M75" s="77" t="s">
        <v>162</v>
      </c>
      <c r="N75" s="27" t="s">
        <v>35</v>
      </c>
      <c r="O75" s="77" t="s">
        <v>162</v>
      </c>
      <c r="P75" s="27" t="s">
        <v>35</v>
      </c>
      <c r="Q75" s="77" t="s">
        <v>162</v>
      </c>
      <c r="R75" s="27" t="s">
        <v>35</v>
      </c>
      <c r="S75" s="77" t="s">
        <v>162</v>
      </c>
      <c r="T75" s="27" t="s">
        <v>35</v>
      </c>
      <c r="U75" s="77" t="s">
        <v>162</v>
      </c>
      <c r="V75" s="27" t="s">
        <v>35</v>
      </c>
      <c r="W75" s="77" t="s">
        <v>162</v>
      </c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 spans="4:33" x14ac:dyDescent="0.25">
      <c r="D76" s="27" t="s">
        <v>239</v>
      </c>
      <c r="E76" s="27" t="s">
        <v>250</v>
      </c>
      <c r="F76" s="27" t="s">
        <v>240</v>
      </c>
      <c r="G76" s="27" t="s">
        <v>250</v>
      </c>
      <c r="H76" s="27" t="s">
        <v>241</v>
      </c>
      <c r="I76" s="27" t="s">
        <v>250</v>
      </c>
      <c r="J76" s="27" t="s">
        <v>242</v>
      </c>
      <c r="K76" s="27" t="s">
        <v>250</v>
      </c>
      <c r="L76" s="27" t="s">
        <v>243</v>
      </c>
      <c r="M76" s="27" t="s">
        <v>272</v>
      </c>
      <c r="N76" s="27" t="s">
        <v>244</v>
      </c>
      <c r="O76" s="27" t="s">
        <v>272</v>
      </c>
      <c r="P76" s="27" t="s">
        <v>245</v>
      </c>
      <c r="Q76" s="27" t="s">
        <v>41</v>
      </c>
      <c r="R76" s="27" t="s">
        <v>246</v>
      </c>
      <c r="S76" s="27" t="s">
        <v>41</v>
      </c>
      <c r="T76" s="27" t="s">
        <v>247</v>
      </c>
      <c r="U76" s="27" t="s">
        <v>41</v>
      </c>
      <c r="V76" s="27" t="s">
        <v>248</v>
      </c>
      <c r="W76" s="27" t="s">
        <v>41</v>
      </c>
      <c r="X76" s="99"/>
      <c r="Y76" s="99"/>
      <c r="Z76" s="99"/>
      <c r="AA76" s="99"/>
      <c r="AB76" s="99"/>
      <c r="AC76" s="99"/>
      <c r="AD76" s="99"/>
      <c r="AE76" s="99"/>
      <c r="AF76" s="99"/>
      <c r="AG76" s="16"/>
    </row>
    <row r="77" spans="4:33" x14ac:dyDescent="0.25">
      <c r="X77" s="16"/>
      <c r="Y77" s="16"/>
      <c r="Z77" s="16"/>
      <c r="AA77" s="16"/>
      <c r="AB77" s="16"/>
      <c r="AC77" s="16"/>
      <c r="AD77" s="16"/>
      <c r="AE77" s="16"/>
      <c r="AF77" s="16"/>
      <c r="AG77" s="16"/>
    </row>
    <row r="78" spans="4:33" x14ac:dyDescent="0.25">
      <c r="D78" s="27" t="s">
        <v>271</v>
      </c>
      <c r="E78" s="27"/>
      <c r="F78" s="27" t="s">
        <v>274</v>
      </c>
      <c r="G78" s="27"/>
      <c r="H78" s="27" t="s">
        <v>276</v>
      </c>
      <c r="I78" s="27"/>
      <c r="J78" s="27" t="s">
        <v>278</v>
      </c>
      <c r="K78" s="27"/>
      <c r="L78" s="27" t="s">
        <v>280</v>
      </c>
      <c r="M78" s="27"/>
      <c r="N78" s="27" t="s">
        <v>282</v>
      </c>
      <c r="O78" s="27"/>
      <c r="P78" s="27" t="s">
        <v>286</v>
      </c>
      <c r="Q78" s="27"/>
      <c r="R78" s="27" t="s">
        <v>287</v>
      </c>
      <c r="S78" s="27"/>
      <c r="T78" s="27" t="s">
        <v>288</v>
      </c>
      <c r="U78" s="27"/>
      <c r="V78" s="27" t="s">
        <v>290</v>
      </c>
      <c r="W78" s="27"/>
      <c r="X78"/>
      <c r="Y78"/>
      <c r="Z78"/>
      <c r="AA78"/>
      <c r="AB78"/>
      <c r="AC78"/>
      <c r="AD78" s="99"/>
      <c r="AE78" s="99"/>
      <c r="AF78" s="99"/>
      <c r="AG78" s="16"/>
    </row>
    <row r="79" spans="4:33" x14ac:dyDescent="0.25">
      <c r="D79" s="27" t="s">
        <v>219</v>
      </c>
      <c r="E79" s="54" t="s">
        <v>267</v>
      </c>
      <c r="F79" s="27" t="s">
        <v>220</v>
      </c>
      <c r="G79" s="54" t="s">
        <v>267</v>
      </c>
      <c r="H79" s="27" t="s">
        <v>221</v>
      </c>
      <c r="I79" s="54" t="s">
        <v>267</v>
      </c>
      <c r="J79" s="27" t="s">
        <v>222</v>
      </c>
      <c r="K79" s="54" t="s">
        <v>267</v>
      </c>
      <c r="L79" s="27" t="s">
        <v>223</v>
      </c>
      <c r="M79" s="54" t="s">
        <v>267</v>
      </c>
      <c r="N79" s="27" t="s">
        <v>224</v>
      </c>
      <c r="O79" s="54" t="s">
        <v>267</v>
      </c>
      <c r="P79" s="27" t="s">
        <v>225</v>
      </c>
      <c r="Q79" s="54" t="s">
        <v>267</v>
      </c>
      <c r="R79" s="27" t="s">
        <v>226</v>
      </c>
      <c r="S79" s="54" t="s">
        <v>267</v>
      </c>
      <c r="T79" s="27" t="s">
        <v>227</v>
      </c>
      <c r="U79" s="54" t="s">
        <v>267</v>
      </c>
      <c r="V79" s="27" t="s">
        <v>228</v>
      </c>
      <c r="W79" s="54" t="s">
        <v>267</v>
      </c>
      <c r="X79"/>
      <c r="Y79"/>
      <c r="Z79"/>
      <c r="AA79"/>
      <c r="AB79"/>
      <c r="AC79"/>
      <c r="AD79" s="101"/>
      <c r="AE79" s="99"/>
      <c r="AF79" s="101"/>
      <c r="AG79" s="16"/>
    </row>
    <row r="80" spans="4:33" x14ac:dyDescent="0.25">
      <c r="D80" s="27" t="s">
        <v>255</v>
      </c>
      <c r="E80" s="29">
        <v>162000</v>
      </c>
      <c r="F80" s="27" t="s">
        <v>255</v>
      </c>
      <c r="G80" s="29">
        <v>125000</v>
      </c>
      <c r="H80" s="27" t="s">
        <v>257</v>
      </c>
      <c r="I80" s="29">
        <v>175000</v>
      </c>
      <c r="J80" s="27" t="s">
        <v>257</v>
      </c>
      <c r="K80" s="29">
        <v>10000</v>
      </c>
      <c r="L80" s="27"/>
      <c r="M80" s="29"/>
      <c r="N80" s="27"/>
      <c r="O80" s="29"/>
      <c r="P80" s="27"/>
      <c r="Q80" s="29"/>
      <c r="R80" s="27"/>
      <c r="S80" s="29"/>
      <c r="T80" s="27"/>
      <c r="U80" s="29"/>
      <c r="V80" s="27"/>
      <c r="W80" s="29"/>
      <c r="X80"/>
      <c r="Y80"/>
      <c r="Z80"/>
      <c r="AA80"/>
      <c r="AB80"/>
      <c r="AC80"/>
      <c r="AD80" s="100"/>
      <c r="AE80" s="99"/>
      <c r="AF80" s="100"/>
      <c r="AG80" s="16"/>
    </row>
    <row r="81" spans="4:33" x14ac:dyDescent="0.25">
      <c r="D81" s="27" t="s">
        <v>256</v>
      </c>
      <c r="E81" s="29">
        <v>172000</v>
      </c>
      <c r="F81" s="27" t="s">
        <v>256</v>
      </c>
      <c r="G81" s="29">
        <v>835000</v>
      </c>
      <c r="H81" s="53" t="s">
        <v>30</v>
      </c>
      <c r="I81" s="52">
        <v>175000</v>
      </c>
      <c r="J81" s="27" t="s">
        <v>258</v>
      </c>
      <c r="K81" s="29">
        <v>5000</v>
      </c>
      <c r="L81" s="53" t="s">
        <v>30</v>
      </c>
      <c r="M81" s="52"/>
      <c r="N81" s="53" t="s">
        <v>30</v>
      </c>
      <c r="O81" s="52"/>
      <c r="P81" s="53" t="s">
        <v>30</v>
      </c>
      <c r="Q81" s="52"/>
      <c r="R81" s="53" t="s">
        <v>30</v>
      </c>
      <c r="S81" s="52"/>
      <c r="T81" s="53" t="s">
        <v>30</v>
      </c>
      <c r="U81" s="52"/>
      <c r="V81" s="53" t="s">
        <v>30</v>
      </c>
      <c r="W81" s="52"/>
      <c r="X81"/>
      <c r="Y81"/>
      <c r="Z81"/>
      <c r="AA81"/>
      <c r="AB81"/>
      <c r="AC81"/>
      <c r="AD81" s="103"/>
      <c r="AE81" s="102"/>
      <c r="AF81" s="103"/>
      <c r="AG81" s="16"/>
    </row>
    <row r="82" spans="4:33" x14ac:dyDescent="0.25">
      <c r="D82" s="27" t="s">
        <v>257</v>
      </c>
      <c r="E82" s="29">
        <v>20000</v>
      </c>
      <c r="F82" s="27" t="s">
        <v>257</v>
      </c>
      <c r="G82" s="29">
        <v>220000</v>
      </c>
      <c r="H82"/>
      <c r="I82"/>
      <c r="J82" s="53" t="s">
        <v>30</v>
      </c>
      <c r="K82" s="52">
        <v>15000</v>
      </c>
      <c r="L82"/>
      <c r="M82"/>
      <c r="N82"/>
      <c r="O82"/>
      <c r="P82"/>
      <c r="Q82"/>
      <c r="R82"/>
      <c r="S82"/>
      <c r="T82"/>
      <c r="U82"/>
      <c r="V82"/>
      <c r="W82"/>
      <c r="X82" s="103"/>
      <c r="Y82" s="16"/>
      <c r="Z82" s="16"/>
      <c r="AA82" s="16"/>
      <c r="AB82" s="16"/>
      <c r="AC82" s="16"/>
      <c r="AD82" s="16"/>
      <c r="AE82" s="16"/>
      <c r="AF82" s="16"/>
      <c r="AG82" s="16"/>
    </row>
    <row r="83" spans="4:33" x14ac:dyDescent="0.25">
      <c r="D83" s="27" t="s">
        <v>258</v>
      </c>
      <c r="E83" s="29">
        <v>15000</v>
      </c>
      <c r="F83" s="53" t="s">
        <v>30</v>
      </c>
      <c r="G83" s="52">
        <v>1180000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 spans="4:33" x14ac:dyDescent="0.25">
      <c r="D84" s="53" t="s">
        <v>30</v>
      </c>
      <c r="E84" s="52">
        <v>369000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 s="103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 spans="4:33" x14ac:dyDescent="0.25">
      <c r="E85"/>
      <c r="F85"/>
      <c r="G85"/>
      <c r="H85"/>
      <c r="I85"/>
      <c r="J85"/>
      <c r="K85"/>
    </row>
    <row r="86" spans="4:33" x14ac:dyDescent="0.25">
      <c r="E86"/>
      <c r="F86"/>
      <c r="G86"/>
      <c r="H86"/>
      <c r="I86"/>
      <c r="J86"/>
      <c r="K86"/>
    </row>
    <row r="87" spans="4:33" x14ac:dyDescent="0.25">
      <c r="F87"/>
      <c r="J87"/>
    </row>
    <row r="88" spans="4:33" x14ac:dyDescent="0.25">
      <c r="N88"/>
      <c r="O88"/>
      <c r="P88"/>
      <c r="Q88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 spans="4:33" x14ac:dyDescent="0.25">
      <c r="D89" s="27" t="s">
        <v>35</v>
      </c>
      <c r="E89" s="77" t="s">
        <v>162</v>
      </c>
      <c r="F89" s="27" t="s">
        <v>35</v>
      </c>
      <c r="G89" s="77" t="s">
        <v>162</v>
      </c>
      <c r="H89" s="27" t="s">
        <v>35</v>
      </c>
      <c r="I89" s="77" t="s">
        <v>162</v>
      </c>
      <c r="J89" s="27" t="s">
        <v>35</v>
      </c>
      <c r="K89" s="77" t="s">
        <v>162</v>
      </c>
      <c r="L89" s="27" t="s">
        <v>35</v>
      </c>
      <c r="M89" s="77" t="s">
        <v>162</v>
      </c>
      <c r="N89" s="27" t="s">
        <v>35</v>
      </c>
      <c r="O89" s="77" t="s">
        <v>162</v>
      </c>
      <c r="P89" s="27" t="s">
        <v>35</v>
      </c>
      <c r="Q89" s="77" t="s">
        <v>162</v>
      </c>
      <c r="R89" s="27" t="s">
        <v>35</v>
      </c>
      <c r="S89" s="77" t="s">
        <v>162</v>
      </c>
      <c r="T89" s="27" t="s">
        <v>35</v>
      </c>
      <c r="U89" s="77" t="s">
        <v>162</v>
      </c>
      <c r="V89" s="27" t="s">
        <v>35</v>
      </c>
      <c r="W89" s="77" t="s">
        <v>162</v>
      </c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 spans="4:33" x14ac:dyDescent="0.25">
      <c r="D90" s="27" t="s">
        <v>239</v>
      </c>
      <c r="E90" s="27" t="s">
        <v>251</v>
      </c>
      <c r="F90" s="27" t="s">
        <v>240</v>
      </c>
      <c r="G90" s="27" t="s">
        <v>251</v>
      </c>
      <c r="H90" s="27" t="s">
        <v>241</v>
      </c>
      <c r="I90" s="27" t="s">
        <v>251</v>
      </c>
      <c r="J90" s="27" t="s">
        <v>242</v>
      </c>
      <c r="K90" s="27" t="s">
        <v>251</v>
      </c>
      <c r="L90" s="27" t="s">
        <v>243</v>
      </c>
      <c r="M90" s="27" t="s">
        <v>272</v>
      </c>
      <c r="N90" s="27" t="s">
        <v>244</v>
      </c>
      <c r="O90" s="27" t="s">
        <v>272</v>
      </c>
      <c r="P90" s="27" t="s">
        <v>245</v>
      </c>
      <c r="Q90" s="27" t="s">
        <v>41</v>
      </c>
      <c r="R90" s="27" t="s">
        <v>246</v>
      </c>
      <c r="S90" s="27" t="s">
        <v>272</v>
      </c>
      <c r="T90" s="27" t="s">
        <v>247</v>
      </c>
      <c r="U90" s="27" t="s">
        <v>41</v>
      </c>
      <c r="V90" s="27" t="s">
        <v>248</v>
      </c>
      <c r="W90" s="27" t="s">
        <v>41</v>
      </c>
      <c r="X90" s="99"/>
      <c r="Y90" s="99"/>
      <c r="Z90" s="99"/>
      <c r="AA90" s="99"/>
      <c r="AB90" s="99"/>
      <c r="AC90" s="99"/>
      <c r="AD90" s="99"/>
      <c r="AE90" s="99"/>
      <c r="AF90" s="99"/>
      <c r="AG90" s="16"/>
    </row>
    <row r="91" spans="4:33" x14ac:dyDescent="0.25"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 spans="4:33" x14ac:dyDescent="0.25">
      <c r="D92" s="27" t="s">
        <v>270</v>
      </c>
      <c r="E92" s="27"/>
      <c r="F92" s="27" t="s">
        <v>273</v>
      </c>
      <c r="G92" s="27"/>
      <c r="H92" s="27" t="s">
        <v>275</v>
      </c>
      <c r="I92" s="27"/>
      <c r="J92" s="27" t="s">
        <v>277</v>
      </c>
      <c r="K92" s="27"/>
      <c r="L92" s="27" t="s">
        <v>279</v>
      </c>
      <c r="M92" s="27"/>
      <c r="N92" s="27" t="s">
        <v>281</v>
      </c>
      <c r="O92" s="27"/>
      <c r="P92" s="27" t="s">
        <v>283</v>
      </c>
      <c r="Q92" s="27"/>
      <c r="R92" s="27" t="s">
        <v>284</v>
      </c>
      <c r="S92" s="27"/>
      <c r="T92" s="27" t="s">
        <v>285</v>
      </c>
      <c r="U92" s="27"/>
      <c r="V92" s="27" t="s">
        <v>289</v>
      </c>
      <c r="W92" s="27"/>
      <c r="X92"/>
      <c r="Y92"/>
      <c r="Z92"/>
      <c r="AA92"/>
      <c r="AB92"/>
      <c r="AC92"/>
      <c r="AD92" s="99"/>
      <c r="AE92" s="99"/>
      <c r="AF92" s="99"/>
      <c r="AG92" s="16"/>
    </row>
    <row r="93" spans="4:33" x14ac:dyDescent="0.25">
      <c r="D93" s="27" t="s">
        <v>219</v>
      </c>
      <c r="E93" s="54" t="s">
        <v>267</v>
      </c>
      <c r="F93" s="27" t="s">
        <v>220</v>
      </c>
      <c r="G93" s="54" t="s">
        <v>267</v>
      </c>
      <c r="H93" s="27" t="s">
        <v>221</v>
      </c>
      <c r="I93" s="54" t="s">
        <v>267</v>
      </c>
      <c r="J93" s="27" t="s">
        <v>222</v>
      </c>
      <c r="K93" s="54" t="s">
        <v>267</v>
      </c>
      <c r="L93" s="27" t="s">
        <v>223</v>
      </c>
      <c r="M93" s="54" t="s">
        <v>267</v>
      </c>
      <c r="N93" s="27" t="s">
        <v>224</v>
      </c>
      <c r="O93" s="54" t="s">
        <v>267</v>
      </c>
      <c r="P93" s="27" t="s">
        <v>225</v>
      </c>
      <c r="Q93" s="54" t="s">
        <v>267</v>
      </c>
      <c r="R93" s="27" t="s">
        <v>226</v>
      </c>
      <c r="S93" s="54" t="s">
        <v>267</v>
      </c>
      <c r="T93" s="27" t="s">
        <v>227</v>
      </c>
      <c r="U93" s="54" t="s">
        <v>267</v>
      </c>
      <c r="V93" s="27" t="s">
        <v>228</v>
      </c>
      <c r="W93" s="54" t="s">
        <v>267</v>
      </c>
      <c r="X93"/>
      <c r="Y93"/>
      <c r="Z93"/>
      <c r="AA93"/>
      <c r="AB93"/>
      <c r="AC93"/>
      <c r="AD93" s="101"/>
      <c r="AE93" s="99"/>
      <c r="AF93" s="101"/>
      <c r="AG93" s="16"/>
    </row>
    <row r="94" spans="4:33" x14ac:dyDescent="0.25">
      <c r="D94" s="27" t="s">
        <v>257</v>
      </c>
      <c r="E94" s="29">
        <v>1</v>
      </c>
      <c r="F94" s="27" t="s">
        <v>257</v>
      </c>
      <c r="G94" s="29">
        <v>2</v>
      </c>
      <c r="H94" s="27" t="s">
        <v>256</v>
      </c>
      <c r="I94" s="29">
        <v>1</v>
      </c>
      <c r="J94" s="27" t="s">
        <v>256</v>
      </c>
      <c r="K94" s="29">
        <v>1</v>
      </c>
      <c r="L94" s="27"/>
      <c r="M94" s="29"/>
      <c r="N94" s="27"/>
      <c r="O94" s="29"/>
      <c r="P94" s="27"/>
      <c r="Q94" s="29"/>
      <c r="R94" s="27"/>
      <c r="S94" s="29"/>
      <c r="T94" s="27"/>
      <c r="U94" s="29"/>
      <c r="V94" s="27"/>
      <c r="W94" s="29"/>
      <c r="X94"/>
      <c r="Y94"/>
      <c r="Z94"/>
      <c r="AA94"/>
      <c r="AB94"/>
      <c r="AC94"/>
      <c r="AD94" s="100"/>
      <c r="AE94" s="99"/>
      <c r="AF94" s="100"/>
      <c r="AG94" s="16"/>
    </row>
    <row r="95" spans="4:33" x14ac:dyDescent="0.25">
      <c r="D95" s="53" t="s">
        <v>30</v>
      </c>
      <c r="E95" s="52">
        <v>1</v>
      </c>
      <c r="F95" s="53" t="s">
        <v>30</v>
      </c>
      <c r="G95" s="52">
        <v>2</v>
      </c>
      <c r="H95" s="53" t="s">
        <v>30</v>
      </c>
      <c r="I95" s="52">
        <v>1</v>
      </c>
      <c r="J95" s="27" t="s">
        <v>257</v>
      </c>
      <c r="K95" s="29">
        <v>1</v>
      </c>
      <c r="L95" s="53" t="s">
        <v>30</v>
      </c>
      <c r="M95" s="52"/>
      <c r="N95" s="53" t="s">
        <v>30</v>
      </c>
      <c r="O95" s="52"/>
      <c r="P95" s="53" t="s">
        <v>30</v>
      </c>
      <c r="Q95" s="52"/>
      <c r="R95" s="53" t="s">
        <v>30</v>
      </c>
      <c r="S95" s="52"/>
      <c r="T95" s="53" t="s">
        <v>30</v>
      </c>
      <c r="U95" s="52"/>
      <c r="V95" s="53" t="s">
        <v>30</v>
      </c>
      <c r="W95" s="52"/>
      <c r="X95"/>
      <c r="Y95"/>
      <c r="Z95"/>
      <c r="AA95"/>
      <c r="AB95"/>
      <c r="AC95"/>
      <c r="AD95" s="103"/>
      <c r="AE95" s="102"/>
      <c r="AF95" s="103"/>
      <c r="AG95" s="16"/>
    </row>
    <row r="96" spans="4:33" x14ac:dyDescent="0.25">
      <c r="D96"/>
      <c r="E96"/>
      <c r="F96"/>
      <c r="G96"/>
      <c r="H96"/>
      <c r="I96"/>
      <c r="J96" s="53" t="s">
        <v>30</v>
      </c>
      <c r="K96" s="52">
        <v>2</v>
      </c>
      <c r="L96"/>
      <c r="M96"/>
      <c r="N96"/>
      <c r="O96"/>
      <c r="P96"/>
      <c r="Q96"/>
      <c r="R96"/>
      <c r="S96"/>
      <c r="T96"/>
      <c r="U96"/>
      <c r="V96"/>
      <c r="W96"/>
      <c r="X96" s="103"/>
      <c r="Y96" s="16"/>
      <c r="Z96" s="16"/>
      <c r="AA96" s="16"/>
      <c r="AB96" s="16"/>
      <c r="AC96" s="16"/>
      <c r="AD96" s="16"/>
      <c r="AE96" s="16"/>
      <c r="AF96" s="16"/>
      <c r="AG96" s="16"/>
    </row>
    <row r="97" spans="4:33" x14ac:dyDescent="0.25"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16"/>
      <c r="Y97" s="16"/>
      <c r="Z97" s="16"/>
      <c r="AA97" s="16"/>
      <c r="AB97" s="16"/>
      <c r="AC97" s="16"/>
      <c r="AD97" s="16"/>
      <c r="AE97" s="16"/>
      <c r="AF97" s="16"/>
      <c r="AG97" s="16"/>
    </row>
    <row r="98" spans="4:33" x14ac:dyDescent="0.25"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 s="103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 spans="4:33" x14ac:dyDescent="0.25"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 spans="4:33" x14ac:dyDescent="0.25">
      <c r="F100"/>
      <c r="G100"/>
      <c r="H100"/>
      <c r="I100"/>
      <c r="J100"/>
      <c r="K100"/>
      <c r="L100"/>
      <c r="M100"/>
      <c r="N100"/>
      <c r="O100"/>
    </row>
    <row r="101" spans="4:33" x14ac:dyDescent="0.25">
      <c r="F101"/>
      <c r="G101"/>
      <c r="H101"/>
      <c r="I101"/>
      <c r="J101"/>
      <c r="K101"/>
      <c r="L101"/>
      <c r="M101"/>
      <c r="N101"/>
      <c r="O101"/>
    </row>
    <row r="102" spans="4:33" x14ac:dyDescent="0.25">
      <c r="F102"/>
      <c r="G102"/>
      <c r="H102"/>
      <c r="I102"/>
      <c r="J102"/>
      <c r="K102"/>
      <c r="L102"/>
      <c r="M102"/>
      <c r="N102"/>
      <c r="O102"/>
    </row>
    <row r="103" spans="4:33" x14ac:dyDescent="0.25">
      <c r="F103"/>
      <c r="G103"/>
      <c r="H103"/>
      <c r="I103"/>
      <c r="J103"/>
      <c r="K103"/>
      <c r="L103"/>
      <c r="M103"/>
      <c r="N103"/>
      <c r="O103"/>
    </row>
    <row r="104" spans="4:33" x14ac:dyDescent="0.25">
      <c r="F104"/>
      <c r="G104"/>
      <c r="H104"/>
      <c r="I104"/>
      <c r="J104"/>
      <c r="K104"/>
      <c r="L104"/>
      <c r="M104"/>
      <c r="N104"/>
    </row>
    <row r="105" spans="4:33" x14ac:dyDescent="0.25">
      <c r="F105"/>
      <c r="G105"/>
      <c r="H105"/>
      <c r="I105"/>
      <c r="J105"/>
      <c r="K105"/>
      <c r="L105"/>
      <c r="M105"/>
      <c r="N105"/>
    </row>
    <row r="106" spans="4:33" x14ac:dyDescent="0.25">
      <c r="F106"/>
      <c r="G106"/>
      <c r="H106"/>
      <c r="I106"/>
      <c r="J106"/>
      <c r="K106"/>
      <c r="L106"/>
      <c r="M106"/>
      <c r="N106"/>
    </row>
    <row r="107" spans="4:33" x14ac:dyDescent="0.25">
      <c r="F107"/>
      <c r="G107"/>
      <c r="H107"/>
      <c r="I107"/>
      <c r="J107"/>
      <c r="K107"/>
      <c r="L107"/>
      <c r="M107"/>
      <c r="N107"/>
    </row>
    <row r="108" spans="4:33" x14ac:dyDescent="0.25">
      <c r="F108"/>
      <c r="G108"/>
      <c r="H108"/>
      <c r="I108"/>
      <c r="J108"/>
      <c r="K108"/>
      <c r="L108"/>
      <c r="M108"/>
      <c r="N108"/>
    </row>
    <row r="111" spans="4:33" x14ac:dyDescent="0.25">
      <c r="D111" s="1" t="s">
        <v>268</v>
      </c>
    </row>
    <row r="112" spans="4:33" x14ac:dyDescent="0.25"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4:33" x14ac:dyDescent="0.25">
      <c r="D113" s="27" t="s">
        <v>35</v>
      </c>
      <c r="E113" s="77" t="s">
        <v>162</v>
      </c>
      <c r="F113" s="27" t="s">
        <v>35</v>
      </c>
      <c r="G113" s="77" t="s">
        <v>162</v>
      </c>
      <c r="H113" s="27" t="s">
        <v>35</v>
      </c>
      <c r="I113" s="77" t="s">
        <v>162</v>
      </c>
      <c r="J113" s="27" t="s">
        <v>35</v>
      </c>
      <c r="K113" s="77" t="s">
        <v>162</v>
      </c>
      <c r="L113" s="27" t="s">
        <v>35</v>
      </c>
      <c r="M113" s="77" t="s">
        <v>162</v>
      </c>
      <c r="N113" s="27" t="s">
        <v>35</v>
      </c>
      <c r="O113" s="77" t="s">
        <v>162</v>
      </c>
      <c r="P113" s="27" t="s">
        <v>35</v>
      </c>
      <c r="Q113" s="77" t="s">
        <v>162</v>
      </c>
      <c r="R113" s="27" t="s">
        <v>35</v>
      </c>
      <c r="S113" s="77" t="s">
        <v>162</v>
      </c>
      <c r="T113" s="27" t="s">
        <v>35</v>
      </c>
      <c r="U113" s="77" t="s">
        <v>162</v>
      </c>
      <c r="V113" s="27" t="s">
        <v>35</v>
      </c>
      <c r="W113" s="77" t="s">
        <v>162</v>
      </c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 spans="4:33" x14ac:dyDescent="0.25">
      <c r="D114" s="27" t="s">
        <v>239</v>
      </c>
      <c r="E114" s="27" t="s">
        <v>272</v>
      </c>
      <c r="F114" s="27" t="s">
        <v>240</v>
      </c>
      <c r="G114" s="27" t="s">
        <v>249</v>
      </c>
      <c r="H114" s="27" t="s">
        <v>241</v>
      </c>
      <c r="I114" s="27" t="s">
        <v>272</v>
      </c>
      <c r="J114" s="27" t="s">
        <v>242</v>
      </c>
      <c r="K114" s="27" t="s">
        <v>272</v>
      </c>
      <c r="L114" s="27" t="s">
        <v>243</v>
      </c>
      <c r="M114" s="27" t="s">
        <v>249</v>
      </c>
      <c r="N114" s="27" t="s">
        <v>244</v>
      </c>
      <c r="O114" s="27" t="s">
        <v>249</v>
      </c>
      <c r="P114" s="27" t="s">
        <v>245</v>
      </c>
      <c r="Q114" s="27" t="s">
        <v>41</v>
      </c>
      <c r="R114" s="27" t="s">
        <v>246</v>
      </c>
      <c r="S114" s="27" t="s">
        <v>41</v>
      </c>
      <c r="T114" s="27" t="s">
        <v>247</v>
      </c>
      <c r="U114" s="27" t="s">
        <v>41</v>
      </c>
      <c r="V114" s="27" t="s">
        <v>248</v>
      </c>
      <c r="W114" s="27" t="s">
        <v>41</v>
      </c>
      <c r="X114" s="99"/>
      <c r="Y114" s="99"/>
      <c r="Z114" s="99"/>
      <c r="AA114" s="99"/>
      <c r="AB114" s="99"/>
      <c r="AC114" s="99"/>
      <c r="AD114" s="99"/>
      <c r="AE114" s="99"/>
      <c r="AF114" s="99"/>
      <c r="AG114" s="16"/>
    </row>
    <row r="115" spans="4:33" x14ac:dyDescent="0.25"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</row>
    <row r="116" spans="4:33" x14ac:dyDescent="0.25">
      <c r="D116" s="27" t="s">
        <v>270</v>
      </c>
      <c r="E116" s="27"/>
      <c r="F116" s="27" t="s">
        <v>273</v>
      </c>
      <c r="G116" s="27"/>
      <c r="H116" s="27" t="s">
        <v>275</v>
      </c>
      <c r="I116" s="27"/>
      <c r="J116" s="27" t="s">
        <v>277</v>
      </c>
      <c r="K116" s="27"/>
      <c r="L116" s="27" t="s">
        <v>279</v>
      </c>
      <c r="M116" s="27"/>
      <c r="N116" s="27" t="s">
        <v>281</v>
      </c>
      <c r="O116" s="27"/>
      <c r="P116" s="27" t="s">
        <v>283</v>
      </c>
      <c r="Q116" s="27"/>
      <c r="R116" s="27" t="s">
        <v>284</v>
      </c>
      <c r="S116" s="27"/>
      <c r="T116" s="27" t="s">
        <v>285</v>
      </c>
      <c r="U116" s="27"/>
      <c r="V116" s="27" t="s">
        <v>289</v>
      </c>
      <c r="W116" s="27"/>
      <c r="X116"/>
      <c r="Y116"/>
      <c r="Z116"/>
      <c r="AA116"/>
      <c r="AB116"/>
      <c r="AC116"/>
      <c r="AD116" s="99"/>
      <c r="AE116" s="99"/>
      <c r="AF116" s="99"/>
      <c r="AG116" s="16"/>
    </row>
    <row r="117" spans="4:33" x14ac:dyDescent="0.25">
      <c r="D117" s="27" t="s">
        <v>219</v>
      </c>
      <c r="E117" s="54" t="s">
        <v>267</v>
      </c>
      <c r="F117" s="27" t="s">
        <v>220</v>
      </c>
      <c r="G117" s="54" t="s">
        <v>267</v>
      </c>
      <c r="H117" s="27" t="s">
        <v>221</v>
      </c>
      <c r="I117" s="54" t="s">
        <v>267</v>
      </c>
      <c r="J117" s="27" t="s">
        <v>222</v>
      </c>
      <c r="K117" s="54" t="s">
        <v>267</v>
      </c>
      <c r="L117" s="27" t="s">
        <v>223</v>
      </c>
      <c r="M117" s="54" t="s">
        <v>267</v>
      </c>
      <c r="N117" s="27" t="s">
        <v>224</v>
      </c>
      <c r="O117" s="54" t="s">
        <v>267</v>
      </c>
      <c r="P117" s="27" t="s">
        <v>225</v>
      </c>
      <c r="Q117" s="54" t="s">
        <v>267</v>
      </c>
      <c r="R117" s="27" t="s">
        <v>226</v>
      </c>
      <c r="S117" s="54" t="s">
        <v>267</v>
      </c>
      <c r="T117" s="27" t="s">
        <v>227</v>
      </c>
      <c r="U117" s="54" t="s">
        <v>267</v>
      </c>
      <c r="V117" s="27" t="s">
        <v>228</v>
      </c>
      <c r="W117" s="54" t="s">
        <v>267</v>
      </c>
      <c r="X117"/>
      <c r="Y117"/>
      <c r="Z117"/>
      <c r="AA117"/>
      <c r="AB117"/>
      <c r="AC117"/>
      <c r="AD117" s="101"/>
      <c r="AE117" s="99"/>
      <c r="AF117" s="101"/>
      <c r="AG117" s="16"/>
    </row>
    <row r="118" spans="4:33" x14ac:dyDescent="0.25">
      <c r="D118" s="53" t="s">
        <v>30</v>
      </c>
      <c r="E118" s="52"/>
      <c r="F118" s="27" t="s">
        <v>258</v>
      </c>
      <c r="G118" s="29">
        <v>1</v>
      </c>
      <c r="H118" s="27"/>
      <c r="I118" s="29"/>
      <c r="J118" s="27"/>
      <c r="K118" s="29"/>
      <c r="L118" s="27" t="s">
        <v>258</v>
      </c>
      <c r="M118" s="29">
        <v>2</v>
      </c>
      <c r="N118" s="27" t="s">
        <v>258</v>
      </c>
      <c r="O118" s="29">
        <v>1</v>
      </c>
      <c r="P118" s="27"/>
      <c r="Q118" s="29"/>
      <c r="R118" s="27"/>
      <c r="S118" s="29"/>
      <c r="T118" s="27"/>
      <c r="U118" s="29"/>
      <c r="V118" s="27"/>
      <c r="W118" s="29"/>
      <c r="X118"/>
      <c r="Y118"/>
      <c r="Z118"/>
      <c r="AA118"/>
      <c r="AB118"/>
      <c r="AC118"/>
      <c r="AD118" s="100"/>
      <c r="AE118" s="99"/>
      <c r="AF118" s="100"/>
      <c r="AG118" s="16"/>
    </row>
    <row r="119" spans="4:33" x14ac:dyDescent="0.25">
      <c r="D119"/>
      <c r="E119"/>
      <c r="F119" s="53" t="s">
        <v>30</v>
      </c>
      <c r="G119" s="52">
        <v>1</v>
      </c>
      <c r="H119" s="53" t="s">
        <v>30</v>
      </c>
      <c r="I119" s="52"/>
      <c r="J119" s="53" t="s">
        <v>30</v>
      </c>
      <c r="K119" s="52"/>
      <c r="L119" s="53" t="s">
        <v>30</v>
      </c>
      <c r="M119" s="52">
        <v>2</v>
      </c>
      <c r="N119" s="53" t="s">
        <v>30</v>
      </c>
      <c r="O119" s="52">
        <v>1</v>
      </c>
      <c r="P119" s="53" t="s">
        <v>30</v>
      </c>
      <c r="Q119" s="52"/>
      <c r="R119" s="53" t="s">
        <v>30</v>
      </c>
      <c r="S119" s="52"/>
      <c r="T119" s="53" t="s">
        <v>30</v>
      </c>
      <c r="U119" s="52"/>
      <c r="V119" s="53" t="s">
        <v>30</v>
      </c>
      <c r="W119" s="52"/>
      <c r="X119"/>
      <c r="Y119"/>
      <c r="Z119"/>
      <c r="AA119"/>
      <c r="AB119"/>
      <c r="AC119"/>
      <c r="AD119" s="103"/>
      <c r="AE119" s="102"/>
      <c r="AF119" s="103"/>
      <c r="AG119" s="16"/>
    </row>
    <row r="120" spans="4:33" x14ac:dyDescent="0.25"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103"/>
      <c r="Y120" s="16"/>
      <c r="Z120" s="16"/>
      <c r="AA120" s="16"/>
      <c r="AB120" s="16"/>
      <c r="AC120" s="16"/>
      <c r="AD120" s="16"/>
      <c r="AE120" s="16"/>
      <c r="AF120" s="16"/>
      <c r="AG120" s="16"/>
    </row>
    <row r="121" spans="4:33" x14ac:dyDescent="0.25"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 spans="4:33" x14ac:dyDescent="0.25"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 s="103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</row>
    <row r="123" spans="4:33" x14ac:dyDescent="0.25"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7" spans="4:33" x14ac:dyDescent="0.25">
      <c r="D127"/>
      <c r="E127"/>
      <c r="F127"/>
      <c r="G127"/>
      <c r="H127"/>
      <c r="I127"/>
      <c r="J127"/>
    </row>
    <row r="128" spans="4:33" x14ac:dyDescent="0.25">
      <c r="D128"/>
      <c r="E128"/>
      <c r="F128"/>
      <c r="G128"/>
      <c r="H128"/>
      <c r="I128"/>
      <c r="J128"/>
    </row>
    <row r="130" spans="4:33" x14ac:dyDescent="0.25">
      <c r="D130" s="1" t="s">
        <v>269</v>
      </c>
      <c r="F130" s="1">
        <v>2</v>
      </c>
      <c r="H130" s="1">
        <v>3</v>
      </c>
      <c r="J130" s="1">
        <v>4</v>
      </c>
      <c r="L130" s="1">
        <v>5</v>
      </c>
      <c r="N130" s="1">
        <v>6</v>
      </c>
      <c r="P130" s="1">
        <v>7</v>
      </c>
      <c r="R130" s="1">
        <v>8</v>
      </c>
      <c r="T130" s="1">
        <v>9</v>
      </c>
      <c r="V130" s="1">
        <v>10</v>
      </c>
    </row>
    <row r="131" spans="4:33" x14ac:dyDescent="0.25"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 spans="4:33" x14ac:dyDescent="0.25">
      <c r="D132" s="27" t="s">
        <v>35</v>
      </c>
      <c r="E132" s="77" t="s">
        <v>162</v>
      </c>
      <c r="F132" s="27" t="s">
        <v>35</v>
      </c>
      <c r="G132" s="77" t="s">
        <v>162</v>
      </c>
      <c r="H132" s="27" t="s">
        <v>35</v>
      </c>
      <c r="I132" s="77" t="s">
        <v>162</v>
      </c>
      <c r="J132" s="27" t="s">
        <v>35</v>
      </c>
      <c r="K132" s="77" t="s">
        <v>162</v>
      </c>
      <c r="L132" s="27" t="s">
        <v>35</v>
      </c>
      <c r="M132" s="77" t="s">
        <v>162</v>
      </c>
      <c r="N132" s="27" t="s">
        <v>35</v>
      </c>
      <c r="O132" s="77" t="s">
        <v>162</v>
      </c>
      <c r="P132" s="27" t="s">
        <v>35</v>
      </c>
      <c r="Q132" s="77" t="s">
        <v>162</v>
      </c>
      <c r="R132" s="27" t="s">
        <v>35</v>
      </c>
      <c r="S132" s="77" t="s">
        <v>162</v>
      </c>
      <c r="T132" s="27" t="s">
        <v>35</v>
      </c>
      <c r="U132" s="77" t="s">
        <v>162</v>
      </c>
      <c r="V132" s="27" t="s">
        <v>35</v>
      </c>
      <c r="W132" s="77" t="s">
        <v>162</v>
      </c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 spans="4:33" x14ac:dyDescent="0.25">
      <c r="D133" s="27" t="s">
        <v>239</v>
      </c>
      <c r="E133" s="27" t="s">
        <v>250</v>
      </c>
      <c r="F133" s="27" t="s">
        <v>240</v>
      </c>
      <c r="G133" s="27" t="s">
        <v>250</v>
      </c>
      <c r="H133" s="27" t="s">
        <v>241</v>
      </c>
      <c r="I133" s="27" t="s">
        <v>250</v>
      </c>
      <c r="J133" s="27" t="s">
        <v>242</v>
      </c>
      <c r="K133" s="27" t="s">
        <v>250</v>
      </c>
      <c r="L133" s="27" t="s">
        <v>243</v>
      </c>
      <c r="M133" s="27" t="s">
        <v>272</v>
      </c>
      <c r="N133" s="27" t="s">
        <v>244</v>
      </c>
      <c r="O133" s="27" t="s">
        <v>272</v>
      </c>
      <c r="P133" s="27" t="s">
        <v>245</v>
      </c>
      <c r="Q133" s="27" t="s">
        <v>41</v>
      </c>
      <c r="R133" s="27" t="s">
        <v>246</v>
      </c>
      <c r="S133" s="27" t="s">
        <v>41</v>
      </c>
      <c r="T133" s="27" t="s">
        <v>247</v>
      </c>
      <c r="U133" s="27" t="s">
        <v>41</v>
      </c>
      <c r="V133" s="27" t="s">
        <v>248</v>
      </c>
      <c r="W133" s="27" t="s">
        <v>41</v>
      </c>
      <c r="X133" s="99"/>
      <c r="Y133" s="99"/>
      <c r="Z133" s="99"/>
      <c r="AA133" s="99"/>
      <c r="AB133" s="99"/>
      <c r="AC133" s="99"/>
      <c r="AD133" s="99"/>
      <c r="AE133" s="99"/>
      <c r="AF133" s="99"/>
      <c r="AG133" s="16"/>
    </row>
    <row r="134" spans="4:33" x14ac:dyDescent="0.25"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 spans="4:33" x14ac:dyDescent="0.25">
      <c r="D135" s="27" t="s">
        <v>270</v>
      </c>
      <c r="E135" s="27"/>
      <c r="F135" s="27" t="s">
        <v>273</v>
      </c>
      <c r="G135" s="27"/>
      <c r="H135" s="27" t="s">
        <v>275</v>
      </c>
      <c r="I135" s="27"/>
      <c r="J135" s="27" t="s">
        <v>277</v>
      </c>
      <c r="K135" s="27"/>
      <c r="L135" s="27" t="s">
        <v>279</v>
      </c>
      <c r="M135" s="27"/>
      <c r="N135" s="27" t="s">
        <v>281</v>
      </c>
      <c r="O135" s="27"/>
      <c r="P135" s="27" t="s">
        <v>283</v>
      </c>
      <c r="Q135" s="27"/>
      <c r="R135" s="27" t="s">
        <v>284</v>
      </c>
      <c r="S135" s="27"/>
      <c r="T135" s="27" t="s">
        <v>285</v>
      </c>
      <c r="U135" s="27"/>
      <c r="V135" s="27" t="s">
        <v>289</v>
      </c>
      <c r="W135" s="27"/>
      <c r="X135"/>
      <c r="Y135"/>
      <c r="Z135"/>
      <c r="AA135"/>
      <c r="AB135"/>
      <c r="AC135"/>
      <c r="AD135" s="99"/>
      <c r="AE135" s="99"/>
      <c r="AF135" s="99"/>
      <c r="AG135" s="16"/>
    </row>
    <row r="136" spans="4:33" x14ac:dyDescent="0.25">
      <c r="D136" s="27" t="s">
        <v>219</v>
      </c>
      <c r="E136" s="54" t="s">
        <v>267</v>
      </c>
      <c r="F136" s="27" t="s">
        <v>220</v>
      </c>
      <c r="G136" s="54" t="s">
        <v>267</v>
      </c>
      <c r="H136" s="27" t="s">
        <v>221</v>
      </c>
      <c r="I136" s="54" t="s">
        <v>267</v>
      </c>
      <c r="J136" s="27" t="s">
        <v>222</v>
      </c>
      <c r="K136" s="54" t="s">
        <v>267</v>
      </c>
      <c r="L136" s="27" t="s">
        <v>223</v>
      </c>
      <c r="M136" s="54" t="s">
        <v>267</v>
      </c>
      <c r="N136" s="27" t="s">
        <v>224</v>
      </c>
      <c r="O136" s="54" t="s">
        <v>267</v>
      </c>
      <c r="P136" s="27" t="s">
        <v>225</v>
      </c>
      <c r="Q136" s="54" t="s">
        <v>267</v>
      </c>
      <c r="R136" s="27" t="s">
        <v>226</v>
      </c>
      <c r="S136" s="54" t="s">
        <v>267</v>
      </c>
      <c r="T136" s="27" t="s">
        <v>227</v>
      </c>
      <c r="U136" s="54" t="s">
        <v>267</v>
      </c>
      <c r="V136" s="27" t="s">
        <v>228</v>
      </c>
      <c r="W136" s="54" t="s">
        <v>267</v>
      </c>
      <c r="X136"/>
      <c r="Y136"/>
      <c r="Z136"/>
      <c r="AA136"/>
      <c r="AB136"/>
      <c r="AC136"/>
      <c r="AD136" s="101"/>
      <c r="AE136" s="99"/>
      <c r="AF136" s="101"/>
      <c r="AG136" s="16"/>
    </row>
    <row r="137" spans="4:33" x14ac:dyDescent="0.25">
      <c r="D137" s="27" t="s">
        <v>255</v>
      </c>
      <c r="E137" s="29">
        <v>5</v>
      </c>
      <c r="F137" s="27" t="s">
        <v>255</v>
      </c>
      <c r="G137" s="29">
        <v>2</v>
      </c>
      <c r="H137" s="27" t="s">
        <v>257</v>
      </c>
      <c r="I137" s="29">
        <v>4</v>
      </c>
      <c r="J137" s="27" t="s">
        <v>257</v>
      </c>
      <c r="K137" s="29">
        <v>1</v>
      </c>
      <c r="L137" s="27"/>
      <c r="M137" s="29"/>
      <c r="N137" s="27"/>
      <c r="O137" s="29"/>
      <c r="P137" s="27"/>
      <c r="Q137" s="29"/>
      <c r="R137" s="27"/>
      <c r="S137" s="29"/>
      <c r="T137" s="27"/>
      <c r="U137" s="29"/>
      <c r="V137" s="27"/>
      <c r="W137" s="29"/>
      <c r="X137"/>
      <c r="Y137"/>
      <c r="Z137"/>
      <c r="AA137"/>
      <c r="AB137"/>
      <c r="AC137"/>
      <c r="AD137" s="100"/>
      <c r="AE137" s="99"/>
      <c r="AF137" s="100"/>
      <c r="AG137" s="16"/>
    </row>
    <row r="138" spans="4:33" x14ac:dyDescent="0.25">
      <c r="D138" s="27" t="s">
        <v>256</v>
      </c>
      <c r="E138" s="29">
        <v>6</v>
      </c>
      <c r="F138" s="27" t="s">
        <v>256</v>
      </c>
      <c r="G138" s="29">
        <v>6</v>
      </c>
      <c r="H138" s="53" t="s">
        <v>30</v>
      </c>
      <c r="I138" s="52">
        <v>4</v>
      </c>
      <c r="J138" s="27" t="s">
        <v>258</v>
      </c>
      <c r="K138" s="29">
        <v>1</v>
      </c>
      <c r="L138" s="53" t="s">
        <v>30</v>
      </c>
      <c r="M138" s="52"/>
      <c r="N138" s="53" t="s">
        <v>30</v>
      </c>
      <c r="O138" s="52"/>
      <c r="P138" s="53" t="s">
        <v>30</v>
      </c>
      <c r="Q138" s="52"/>
      <c r="R138" s="53" t="s">
        <v>30</v>
      </c>
      <c r="S138" s="52"/>
      <c r="T138" s="53" t="s">
        <v>30</v>
      </c>
      <c r="U138" s="52"/>
      <c r="V138" s="53" t="s">
        <v>30</v>
      </c>
      <c r="W138" s="52"/>
      <c r="X138"/>
      <c r="Y138"/>
      <c r="Z138"/>
      <c r="AA138"/>
      <c r="AB138"/>
      <c r="AC138"/>
      <c r="AD138" s="103"/>
      <c r="AE138" s="102"/>
      <c r="AF138" s="103"/>
      <c r="AG138" s="16"/>
    </row>
    <row r="139" spans="4:33" x14ac:dyDescent="0.25">
      <c r="D139" s="27" t="s">
        <v>257</v>
      </c>
      <c r="E139" s="29">
        <v>1</v>
      </c>
      <c r="F139" s="27" t="s">
        <v>257</v>
      </c>
      <c r="G139" s="29">
        <v>3</v>
      </c>
      <c r="H139"/>
      <c r="I139"/>
      <c r="J139" s="53" t="s">
        <v>30</v>
      </c>
      <c r="K139" s="52">
        <v>2</v>
      </c>
      <c r="L139"/>
      <c r="M139"/>
      <c r="N139"/>
      <c r="O139"/>
      <c r="P139"/>
      <c r="Q139"/>
      <c r="R139"/>
      <c r="S139"/>
      <c r="T139"/>
      <c r="U139"/>
      <c r="V139"/>
      <c r="W139"/>
      <c r="X139" s="103"/>
      <c r="Y139" s="16"/>
      <c r="Z139" s="16"/>
      <c r="AA139" s="16"/>
      <c r="AB139" s="16"/>
      <c r="AC139" s="16"/>
      <c r="AD139" s="16"/>
      <c r="AE139" s="16"/>
      <c r="AF139" s="16"/>
      <c r="AG139" s="16"/>
    </row>
    <row r="140" spans="4:33" x14ac:dyDescent="0.25">
      <c r="D140" s="27" t="s">
        <v>258</v>
      </c>
      <c r="E140" s="29">
        <v>1</v>
      </c>
      <c r="F140" s="53" t="s">
        <v>30</v>
      </c>
      <c r="G140" s="52">
        <v>11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 spans="4:33" x14ac:dyDescent="0.25">
      <c r="D141" s="53" t="s">
        <v>30</v>
      </c>
      <c r="E141" s="52">
        <v>13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 s="103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 spans="4:33" x14ac:dyDescent="0.25">
      <c r="E142"/>
      <c r="F142"/>
      <c r="G142"/>
      <c r="H142"/>
      <c r="I142"/>
      <c r="J142"/>
      <c r="K142"/>
    </row>
  </sheetData>
  <pageMargins left="0.7" right="0.7" top="0.75" bottom="0.75" header="0.3" footer="0.3"/>
  <pageSetup orientation="portrait" verticalDpi="0" r:id="rId6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60"/>
  <sheetViews>
    <sheetView workbookViewId="0">
      <selection activeCell="J5" sqref="J5"/>
    </sheetView>
  </sheetViews>
  <sheetFormatPr baseColWidth="10" defaultRowHeight="15" x14ac:dyDescent="0.25"/>
  <cols>
    <col min="1" max="3" width="4.140625" style="1" customWidth="1"/>
    <col min="4" max="4" width="19.85546875" style="1" bestFit="1" customWidth="1"/>
    <col min="5" max="13" width="13.5703125" style="1" customWidth="1"/>
    <col min="14" max="14" width="12.5703125" style="1" bestFit="1" customWidth="1"/>
    <col min="15" max="16384" width="11.42578125" style="1"/>
  </cols>
  <sheetData>
    <row r="1" spans="4:16" ht="7.5" customHeight="1" x14ac:dyDescent="0.25"/>
    <row r="2" spans="4:16" ht="7.5" customHeight="1" x14ac:dyDescent="0.25"/>
    <row r="3" spans="4:16" ht="7.5" customHeight="1" x14ac:dyDescent="0.25"/>
    <row r="5" spans="4:16" ht="26.25" x14ac:dyDescent="0.4">
      <c r="F5" s="138" t="s">
        <v>323</v>
      </c>
    </row>
    <row r="7" spans="4:16" ht="15.75" thickBot="1" x14ac:dyDescent="0.3">
      <c r="D7" s="36" t="s">
        <v>183</v>
      </c>
      <c r="E7" s="36" t="s">
        <v>42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4:16" ht="15.75" thickBot="1" x14ac:dyDescent="0.3">
      <c r="D8" s="36" t="s">
        <v>29</v>
      </c>
      <c r="E8" s="140" t="s">
        <v>320</v>
      </c>
      <c r="F8" s="140" t="s">
        <v>326</v>
      </c>
      <c r="G8" s="140" t="s">
        <v>314</v>
      </c>
      <c r="H8" s="140" t="s">
        <v>315</v>
      </c>
      <c r="I8" s="140" t="s">
        <v>316</v>
      </c>
      <c r="J8" s="140" t="s">
        <v>317</v>
      </c>
      <c r="K8" s="146" t="s">
        <v>327</v>
      </c>
      <c r="L8" s="140" t="s">
        <v>318</v>
      </c>
      <c r="M8" s="140" t="s">
        <v>319</v>
      </c>
      <c r="N8" s="140" t="s">
        <v>321</v>
      </c>
      <c r="O8" s="141" t="s">
        <v>322</v>
      </c>
      <c r="P8" s="137" t="s">
        <v>30</v>
      </c>
    </row>
    <row r="9" spans="4:16" x14ac:dyDescent="0.25">
      <c r="D9" s="135" t="s">
        <v>176</v>
      </c>
      <c r="E9" s="136">
        <v>6</v>
      </c>
      <c r="F9" s="136">
        <v>6</v>
      </c>
      <c r="G9" s="136">
        <v>6</v>
      </c>
      <c r="H9" s="136">
        <v>6</v>
      </c>
      <c r="I9" s="136">
        <v>5</v>
      </c>
      <c r="J9" s="136">
        <v>5</v>
      </c>
      <c r="K9" s="147">
        <v>5</v>
      </c>
      <c r="L9" s="136">
        <v>6</v>
      </c>
      <c r="M9" s="136">
        <v>14</v>
      </c>
      <c r="N9" s="136">
        <v>7</v>
      </c>
      <c r="O9" s="136"/>
      <c r="P9" s="136">
        <v>66</v>
      </c>
    </row>
    <row r="10" spans="4:16" x14ac:dyDescent="0.25">
      <c r="D10" s="77" t="s">
        <v>67</v>
      </c>
      <c r="E10" s="29"/>
      <c r="F10" s="29"/>
      <c r="G10" s="29"/>
      <c r="H10" s="29"/>
      <c r="I10" s="29"/>
      <c r="J10" s="29"/>
      <c r="K10" s="144"/>
      <c r="L10" s="29"/>
      <c r="M10" s="29">
        <v>1</v>
      </c>
      <c r="N10" s="29"/>
      <c r="O10" s="29"/>
      <c r="P10" s="29">
        <v>1</v>
      </c>
    </row>
    <row r="11" spans="4:16" x14ac:dyDescent="0.25">
      <c r="D11" s="31" t="s">
        <v>40</v>
      </c>
      <c r="E11" s="29">
        <v>1</v>
      </c>
      <c r="F11" s="29"/>
      <c r="G11" s="29"/>
      <c r="H11" s="29"/>
      <c r="I11" s="29"/>
      <c r="J11" s="29"/>
      <c r="K11" s="144"/>
      <c r="L11" s="29">
        <v>1</v>
      </c>
      <c r="M11" s="29"/>
      <c r="N11" s="29"/>
      <c r="O11" s="29"/>
      <c r="P11" s="29">
        <v>2</v>
      </c>
    </row>
    <row r="12" spans="4:16" x14ac:dyDescent="0.25">
      <c r="D12" s="31" t="s">
        <v>36</v>
      </c>
      <c r="E12" s="29">
        <v>1</v>
      </c>
      <c r="F12" s="29"/>
      <c r="G12" s="29">
        <v>1</v>
      </c>
      <c r="H12" s="29">
        <v>1</v>
      </c>
      <c r="I12" s="29"/>
      <c r="J12" s="29"/>
      <c r="K12" s="144"/>
      <c r="L12" s="29"/>
      <c r="M12" s="29"/>
      <c r="N12" s="29"/>
      <c r="O12" s="29"/>
      <c r="P12" s="29">
        <v>3</v>
      </c>
    </row>
    <row r="13" spans="4:16" x14ac:dyDescent="0.25">
      <c r="D13" s="31" t="s">
        <v>65</v>
      </c>
      <c r="E13" s="29"/>
      <c r="F13" s="29">
        <v>1</v>
      </c>
      <c r="G13" s="29">
        <v>1</v>
      </c>
      <c r="H13" s="29"/>
      <c r="I13" s="29"/>
      <c r="J13" s="29"/>
      <c r="K13" s="144"/>
      <c r="L13" s="29"/>
      <c r="M13" s="29">
        <v>1</v>
      </c>
      <c r="N13" s="29"/>
      <c r="O13" s="29"/>
      <c r="P13" s="29">
        <v>3</v>
      </c>
    </row>
    <row r="14" spans="4:16" x14ac:dyDescent="0.25">
      <c r="D14" s="31" t="s">
        <v>66</v>
      </c>
      <c r="E14" s="29"/>
      <c r="F14" s="29">
        <v>1</v>
      </c>
      <c r="G14" s="29"/>
      <c r="H14" s="29"/>
      <c r="I14" s="29"/>
      <c r="J14" s="29"/>
      <c r="K14" s="144"/>
      <c r="L14" s="29"/>
      <c r="M14" s="29">
        <v>1</v>
      </c>
      <c r="N14" s="29">
        <v>1</v>
      </c>
      <c r="O14" s="29"/>
      <c r="P14" s="29">
        <v>3</v>
      </c>
    </row>
    <row r="15" spans="4:16" x14ac:dyDescent="0.25">
      <c r="D15" s="31" t="s">
        <v>37</v>
      </c>
      <c r="E15" s="29">
        <v>4</v>
      </c>
      <c r="F15" s="29">
        <v>4</v>
      </c>
      <c r="G15" s="29">
        <v>4</v>
      </c>
      <c r="H15" s="29">
        <v>5</v>
      </c>
      <c r="I15" s="29">
        <v>5</v>
      </c>
      <c r="J15" s="29">
        <v>5</v>
      </c>
      <c r="K15" s="144">
        <v>5</v>
      </c>
      <c r="L15" s="29">
        <v>5</v>
      </c>
      <c r="M15" s="29">
        <v>11</v>
      </c>
      <c r="N15" s="29">
        <v>6</v>
      </c>
      <c r="O15" s="29"/>
      <c r="P15" s="29">
        <v>54</v>
      </c>
    </row>
    <row r="16" spans="4:16" x14ac:dyDescent="0.25">
      <c r="D16" s="135" t="s">
        <v>177</v>
      </c>
      <c r="E16" s="136">
        <v>7</v>
      </c>
      <c r="F16" s="136">
        <v>7</v>
      </c>
      <c r="G16" s="136">
        <v>6</v>
      </c>
      <c r="H16" s="136">
        <v>7</v>
      </c>
      <c r="I16" s="136">
        <v>7</v>
      </c>
      <c r="J16" s="136">
        <v>8</v>
      </c>
      <c r="K16" s="143">
        <v>7</v>
      </c>
      <c r="L16" s="136">
        <v>8</v>
      </c>
      <c r="M16" s="136">
        <v>12</v>
      </c>
      <c r="N16" s="136">
        <v>14</v>
      </c>
      <c r="O16" s="136"/>
      <c r="P16" s="136">
        <v>83</v>
      </c>
    </row>
    <row r="17" spans="4:16" x14ac:dyDescent="0.25">
      <c r="D17" s="77" t="s">
        <v>37</v>
      </c>
      <c r="E17" s="29">
        <v>7</v>
      </c>
      <c r="F17" s="29">
        <v>7</v>
      </c>
      <c r="G17" s="29">
        <v>6</v>
      </c>
      <c r="H17" s="29">
        <v>7</v>
      </c>
      <c r="I17" s="29">
        <v>7</v>
      </c>
      <c r="J17" s="29">
        <v>8</v>
      </c>
      <c r="K17" s="144">
        <v>7</v>
      </c>
      <c r="L17" s="29">
        <v>8</v>
      </c>
      <c r="M17" s="29">
        <v>12</v>
      </c>
      <c r="N17" s="29">
        <v>14</v>
      </c>
      <c r="O17" s="29"/>
      <c r="P17" s="29">
        <v>83</v>
      </c>
    </row>
    <row r="18" spans="4:16" x14ac:dyDescent="0.25">
      <c r="D18" s="135" t="s">
        <v>178</v>
      </c>
      <c r="E18" s="136">
        <v>4</v>
      </c>
      <c r="F18" s="136">
        <v>1</v>
      </c>
      <c r="G18" s="136">
        <v>2</v>
      </c>
      <c r="H18" s="136">
        <v>8</v>
      </c>
      <c r="I18" s="136">
        <v>2</v>
      </c>
      <c r="J18" s="136">
        <v>3</v>
      </c>
      <c r="K18" s="143">
        <v>1</v>
      </c>
      <c r="L18" s="136">
        <v>7</v>
      </c>
      <c r="M18" s="136">
        <v>2</v>
      </c>
      <c r="N18" s="136">
        <v>33</v>
      </c>
      <c r="O18" s="136">
        <v>9</v>
      </c>
      <c r="P18" s="136">
        <v>72</v>
      </c>
    </row>
    <row r="19" spans="4:16" x14ac:dyDescent="0.25">
      <c r="D19" s="77" t="s">
        <v>67</v>
      </c>
      <c r="E19" s="29"/>
      <c r="F19" s="29"/>
      <c r="G19" s="29"/>
      <c r="H19" s="29"/>
      <c r="I19" s="29">
        <v>1</v>
      </c>
      <c r="J19" s="29"/>
      <c r="K19" s="144"/>
      <c r="L19" s="29"/>
      <c r="M19" s="29"/>
      <c r="N19" s="29"/>
      <c r="O19" s="29"/>
      <c r="P19" s="29">
        <v>1</v>
      </c>
    </row>
    <row r="20" spans="4:16" x14ac:dyDescent="0.25">
      <c r="D20" s="31" t="s">
        <v>36</v>
      </c>
      <c r="E20" s="29"/>
      <c r="F20" s="29"/>
      <c r="G20" s="29"/>
      <c r="H20" s="29">
        <v>1</v>
      </c>
      <c r="I20" s="29"/>
      <c r="J20" s="29"/>
      <c r="K20" s="144"/>
      <c r="L20" s="29"/>
      <c r="M20" s="29"/>
      <c r="N20" s="29"/>
      <c r="O20" s="29"/>
      <c r="P20" s="29">
        <v>1</v>
      </c>
    </row>
    <row r="21" spans="4:16" x14ac:dyDescent="0.25">
      <c r="D21" s="31" t="s">
        <v>37</v>
      </c>
      <c r="E21" s="29">
        <v>4</v>
      </c>
      <c r="F21" s="29">
        <v>1</v>
      </c>
      <c r="G21" s="29">
        <v>2</v>
      </c>
      <c r="H21" s="29">
        <v>7</v>
      </c>
      <c r="I21" s="29">
        <v>1</v>
      </c>
      <c r="J21" s="29">
        <v>3</v>
      </c>
      <c r="K21" s="144">
        <v>1</v>
      </c>
      <c r="L21" s="29">
        <v>7</v>
      </c>
      <c r="M21" s="29">
        <v>2</v>
      </c>
      <c r="N21" s="29">
        <v>33</v>
      </c>
      <c r="O21" s="29">
        <v>9</v>
      </c>
      <c r="P21" s="29">
        <v>70</v>
      </c>
    </row>
    <row r="22" spans="4:16" ht="15.75" thickBot="1" x14ac:dyDescent="0.3">
      <c r="D22" s="53" t="s">
        <v>30</v>
      </c>
      <c r="E22" s="52">
        <v>17</v>
      </c>
      <c r="F22" s="52">
        <v>14</v>
      </c>
      <c r="G22" s="52">
        <v>14</v>
      </c>
      <c r="H22" s="52">
        <v>21</v>
      </c>
      <c r="I22" s="52">
        <v>14</v>
      </c>
      <c r="J22" s="52">
        <v>16</v>
      </c>
      <c r="K22" s="145">
        <v>13</v>
      </c>
      <c r="L22" s="52">
        <v>21</v>
      </c>
      <c r="M22" s="52">
        <v>28</v>
      </c>
      <c r="N22" s="52">
        <v>54</v>
      </c>
      <c r="O22" s="52">
        <v>9</v>
      </c>
      <c r="P22" s="52">
        <v>221</v>
      </c>
    </row>
    <row r="23" spans="4:16" x14ac:dyDescent="0.25">
      <c r="D23" s="102"/>
      <c r="E23" s="103"/>
      <c r="F23" s="103"/>
      <c r="G23" s="103"/>
      <c r="H23" s="103"/>
      <c r="I23" s="103"/>
      <c r="J23" s="103"/>
      <c r="K23" s="103"/>
      <c r="L23" s="103"/>
      <c r="M23" s="103"/>
      <c r="N23" s="103"/>
    </row>
    <row r="24" spans="4:16" ht="26.25" x14ac:dyDescent="0.4">
      <c r="D24" s="102"/>
      <c r="E24" s="103"/>
      <c r="F24" s="138" t="s">
        <v>324</v>
      </c>
      <c r="G24" s="103"/>
      <c r="H24" s="103"/>
      <c r="I24" s="103"/>
      <c r="J24" s="103"/>
      <c r="K24" s="103"/>
      <c r="L24" s="103"/>
      <c r="M24" s="103"/>
      <c r="N24" s="103"/>
    </row>
    <row r="26" spans="4:16" ht="15.75" thickBot="1" x14ac:dyDescent="0.3">
      <c r="D26" s="36" t="s">
        <v>183</v>
      </c>
      <c r="E26" s="36" t="s">
        <v>42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</row>
    <row r="27" spans="4:16" ht="15.75" thickBot="1" x14ac:dyDescent="0.3">
      <c r="D27" s="36" t="s">
        <v>29</v>
      </c>
      <c r="E27" s="139" t="s">
        <v>320</v>
      </c>
      <c r="F27" s="139" t="s">
        <v>326</v>
      </c>
      <c r="G27" s="139" t="s">
        <v>314</v>
      </c>
      <c r="H27" s="139" t="s">
        <v>315</v>
      </c>
      <c r="I27" s="139" t="s">
        <v>316</v>
      </c>
      <c r="J27" s="139" t="s">
        <v>317</v>
      </c>
      <c r="K27" s="146" t="s">
        <v>327</v>
      </c>
      <c r="L27" s="139" t="s">
        <v>318</v>
      </c>
      <c r="M27" s="139" t="s">
        <v>319</v>
      </c>
      <c r="N27" s="139" t="s">
        <v>321</v>
      </c>
      <c r="O27" s="139" t="s">
        <v>322</v>
      </c>
      <c r="P27" s="137" t="s">
        <v>30</v>
      </c>
    </row>
    <row r="28" spans="4:16" x14ac:dyDescent="0.25">
      <c r="D28" s="135" t="s">
        <v>176</v>
      </c>
      <c r="E28" s="136">
        <v>6</v>
      </c>
      <c r="F28" s="136">
        <v>6</v>
      </c>
      <c r="G28" s="136">
        <v>6</v>
      </c>
      <c r="H28" s="136">
        <v>6</v>
      </c>
      <c r="I28" s="136">
        <v>5</v>
      </c>
      <c r="J28" s="136">
        <v>5</v>
      </c>
      <c r="K28" s="147">
        <v>5</v>
      </c>
      <c r="L28" s="136">
        <v>6</v>
      </c>
      <c r="M28" s="136">
        <v>14</v>
      </c>
      <c r="N28" s="136">
        <v>7</v>
      </c>
      <c r="O28" s="136"/>
      <c r="P28" s="136">
        <v>66</v>
      </c>
    </row>
    <row r="29" spans="4:16" x14ac:dyDescent="0.25">
      <c r="D29" s="77" t="s">
        <v>67</v>
      </c>
      <c r="E29" s="29"/>
      <c r="F29" s="29"/>
      <c r="G29" s="29"/>
      <c r="H29" s="29"/>
      <c r="I29" s="29"/>
      <c r="J29" s="29"/>
      <c r="K29" s="144"/>
      <c r="L29" s="29"/>
      <c r="M29" s="29">
        <v>1</v>
      </c>
      <c r="N29" s="29"/>
      <c r="O29" s="29"/>
      <c r="P29" s="29">
        <v>1</v>
      </c>
    </row>
    <row r="30" spans="4:16" x14ac:dyDescent="0.25">
      <c r="D30" s="31" t="s">
        <v>40</v>
      </c>
      <c r="E30" s="29">
        <v>1</v>
      </c>
      <c r="F30" s="29"/>
      <c r="G30" s="29"/>
      <c r="H30" s="29"/>
      <c r="I30" s="29"/>
      <c r="J30" s="29"/>
      <c r="K30" s="144"/>
      <c r="L30" s="29">
        <v>1</v>
      </c>
      <c r="M30" s="29"/>
      <c r="N30" s="29"/>
      <c r="O30" s="29"/>
      <c r="P30" s="29">
        <v>2</v>
      </c>
    </row>
    <row r="31" spans="4:16" x14ac:dyDescent="0.25">
      <c r="D31" s="31" t="s">
        <v>36</v>
      </c>
      <c r="E31" s="29">
        <v>1</v>
      </c>
      <c r="F31" s="29"/>
      <c r="G31" s="29">
        <v>1</v>
      </c>
      <c r="H31" s="29">
        <v>1</v>
      </c>
      <c r="I31" s="29"/>
      <c r="J31" s="29"/>
      <c r="K31" s="144"/>
      <c r="L31" s="29"/>
      <c r="M31" s="29"/>
      <c r="N31" s="29"/>
      <c r="O31" s="29"/>
      <c r="P31" s="29">
        <v>3</v>
      </c>
    </row>
    <row r="32" spans="4:16" x14ac:dyDescent="0.25">
      <c r="D32" s="31" t="s">
        <v>65</v>
      </c>
      <c r="E32" s="29"/>
      <c r="F32" s="29">
        <v>1</v>
      </c>
      <c r="G32" s="29">
        <v>1</v>
      </c>
      <c r="H32" s="29"/>
      <c r="I32" s="29"/>
      <c r="J32" s="29"/>
      <c r="K32" s="144"/>
      <c r="L32" s="29"/>
      <c r="M32" s="29">
        <v>1</v>
      </c>
      <c r="N32" s="29"/>
      <c r="O32" s="29"/>
      <c r="P32" s="29">
        <v>3</v>
      </c>
    </row>
    <row r="33" spans="4:16" x14ac:dyDescent="0.25">
      <c r="D33" s="31" t="s">
        <v>66</v>
      </c>
      <c r="E33" s="29"/>
      <c r="F33" s="29">
        <v>1</v>
      </c>
      <c r="G33" s="29"/>
      <c r="H33" s="29"/>
      <c r="I33" s="29"/>
      <c r="J33" s="29"/>
      <c r="K33" s="144"/>
      <c r="L33" s="29"/>
      <c r="M33" s="29">
        <v>1</v>
      </c>
      <c r="N33" s="29">
        <v>1</v>
      </c>
      <c r="O33" s="29"/>
      <c r="P33" s="29">
        <v>3</v>
      </c>
    </row>
    <row r="34" spans="4:16" x14ac:dyDescent="0.25">
      <c r="D34" s="31" t="s">
        <v>37</v>
      </c>
      <c r="E34" s="29">
        <v>4</v>
      </c>
      <c r="F34" s="29">
        <v>4</v>
      </c>
      <c r="G34" s="29">
        <v>4</v>
      </c>
      <c r="H34" s="29">
        <v>5</v>
      </c>
      <c r="I34" s="29">
        <v>5</v>
      </c>
      <c r="J34" s="29">
        <v>5</v>
      </c>
      <c r="K34" s="144">
        <v>5</v>
      </c>
      <c r="L34" s="29">
        <v>5</v>
      </c>
      <c r="M34" s="29">
        <v>11</v>
      </c>
      <c r="N34" s="29">
        <v>6</v>
      </c>
      <c r="O34" s="29"/>
      <c r="P34" s="29">
        <v>54</v>
      </c>
    </row>
    <row r="35" spans="4:16" x14ac:dyDescent="0.25">
      <c r="D35" s="135" t="s">
        <v>177</v>
      </c>
      <c r="E35" s="136">
        <v>7</v>
      </c>
      <c r="F35" s="136">
        <v>7</v>
      </c>
      <c r="G35" s="136">
        <v>6</v>
      </c>
      <c r="H35" s="136">
        <v>7</v>
      </c>
      <c r="I35" s="136">
        <v>7</v>
      </c>
      <c r="J35" s="136">
        <v>8</v>
      </c>
      <c r="K35" s="143">
        <v>7</v>
      </c>
      <c r="L35" s="136">
        <v>8</v>
      </c>
      <c r="M35" s="136">
        <v>12</v>
      </c>
      <c r="N35" s="136">
        <v>14</v>
      </c>
      <c r="O35" s="136"/>
      <c r="P35" s="136">
        <v>83</v>
      </c>
    </row>
    <row r="36" spans="4:16" x14ac:dyDescent="0.25">
      <c r="D36" s="77" t="s">
        <v>37</v>
      </c>
      <c r="E36" s="29">
        <v>7</v>
      </c>
      <c r="F36" s="29">
        <v>7</v>
      </c>
      <c r="G36" s="29">
        <v>6</v>
      </c>
      <c r="H36" s="29">
        <v>7</v>
      </c>
      <c r="I36" s="29">
        <v>7</v>
      </c>
      <c r="J36" s="29">
        <v>8</v>
      </c>
      <c r="K36" s="144">
        <v>7</v>
      </c>
      <c r="L36" s="29">
        <v>8</v>
      </c>
      <c r="M36" s="29">
        <v>12</v>
      </c>
      <c r="N36" s="29">
        <v>14</v>
      </c>
      <c r="O36" s="29"/>
      <c r="P36" s="29">
        <v>83</v>
      </c>
    </row>
    <row r="37" spans="4:16" x14ac:dyDescent="0.25">
      <c r="D37" s="135" t="s">
        <v>178</v>
      </c>
      <c r="E37" s="136">
        <v>4</v>
      </c>
      <c r="F37" s="136">
        <v>1</v>
      </c>
      <c r="G37" s="136">
        <v>2</v>
      </c>
      <c r="H37" s="136">
        <v>8</v>
      </c>
      <c r="I37" s="136">
        <v>2</v>
      </c>
      <c r="J37" s="136">
        <v>3</v>
      </c>
      <c r="K37" s="143">
        <v>1</v>
      </c>
      <c r="L37" s="136">
        <v>7</v>
      </c>
      <c r="M37" s="136">
        <v>2</v>
      </c>
      <c r="N37" s="136">
        <v>33</v>
      </c>
      <c r="O37" s="136">
        <v>9</v>
      </c>
      <c r="P37" s="136">
        <v>72</v>
      </c>
    </row>
    <row r="38" spans="4:16" x14ac:dyDescent="0.25">
      <c r="D38" s="77" t="s">
        <v>67</v>
      </c>
      <c r="E38" s="29"/>
      <c r="F38" s="29"/>
      <c r="G38" s="29"/>
      <c r="H38" s="29"/>
      <c r="I38" s="29">
        <v>1</v>
      </c>
      <c r="J38" s="29"/>
      <c r="K38" s="144"/>
      <c r="L38" s="29"/>
      <c r="M38" s="29"/>
      <c r="N38" s="29"/>
      <c r="O38" s="29"/>
      <c r="P38" s="29">
        <v>1</v>
      </c>
    </row>
    <row r="39" spans="4:16" x14ac:dyDescent="0.25">
      <c r="D39" s="31" t="s">
        <v>36</v>
      </c>
      <c r="E39" s="29"/>
      <c r="F39" s="29"/>
      <c r="G39" s="29"/>
      <c r="H39" s="29">
        <v>1</v>
      </c>
      <c r="I39" s="29"/>
      <c r="J39" s="29"/>
      <c r="K39" s="144"/>
      <c r="L39" s="29"/>
      <c r="M39" s="29"/>
      <c r="N39" s="29"/>
      <c r="O39" s="29"/>
      <c r="P39" s="29">
        <v>1</v>
      </c>
    </row>
    <row r="40" spans="4:16" x14ac:dyDescent="0.25">
      <c r="D40" s="31" t="s">
        <v>37</v>
      </c>
      <c r="E40" s="29">
        <v>4</v>
      </c>
      <c r="F40" s="29">
        <v>1</v>
      </c>
      <c r="G40" s="29">
        <v>2</v>
      </c>
      <c r="H40" s="29">
        <v>7</v>
      </c>
      <c r="I40" s="29">
        <v>1</v>
      </c>
      <c r="J40" s="29">
        <v>3</v>
      </c>
      <c r="K40" s="144">
        <v>1</v>
      </c>
      <c r="L40" s="29">
        <v>7</v>
      </c>
      <c r="M40" s="29">
        <v>2</v>
      </c>
      <c r="N40" s="29">
        <v>33</v>
      </c>
      <c r="O40" s="29">
        <v>9</v>
      </c>
      <c r="P40" s="29">
        <v>70</v>
      </c>
    </row>
    <row r="41" spans="4:16" ht="15.75" thickBot="1" x14ac:dyDescent="0.3">
      <c r="D41" s="53" t="s">
        <v>30</v>
      </c>
      <c r="E41" s="52">
        <v>17</v>
      </c>
      <c r="F41" s="52">
        <v>14</v>
      </c>
      <c r="G41" s="52">
        <v>14</v>
      </c>
      <c r="H41" s="52">
        <v>21</v>
      </c>
      <c r="I41" s="52">
        <v>14</v>
      </c>
      <c r="J41" s="52">
        <v>16</v>
      </c>
      <c r="K41" s="145">
        <v>13</v>
      </c>
      <c r="L41" s="52">
        <v>21</v>
      </c>
      <c r="M41" s="52">
        <v>28</v>
      </c>
      <c r="N41" s="52">
        <v>54</v>
      </c>
      <c r="O41" s="52">
        <v>9</v>
      </c>
      <c r="P41" s="52">
        <v>221</v>
      </c>
    </row>
    <row r="43" spans="4:16" ht="26.25" x14ac:dyDescent="0.4">
      <c r="F43" s="138" t="s">
        <v>325</v>
      </c>
    </row>
    <row r="45" spans="4:16" ht="15.75" thickBot="1" x14ac:dyDescent="0.3">
      <c r="D45" s="36" t="s">
        <v>183</v>
      </c>
      <c r="E45" s="36" t="s">
        <v>42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</row>
    <row r="46" spans="4:16" ht="15.75" thickBot="1" x14ac:dyDescent="0.3">
      <c r="D46" s="36" t="s">
        <v>29</v>
      </c>
      <c r="E46" s="139" t="s">
        <v>320</v>
      </c>
      <c r="F46" s="139" t="s">
        <v>326</v>
      </c>
      <c r="G46" s="139" t="s">
        <v>314</v>
      </c>
      <c r="H46" s="139" t="s">
        <v>315</v>
      </c>
      <c r="I46" s="139" t="s">
        <v>316</v>
      </c>
      <c r="J46" s="139" t="s">
        <v>317</v>
      </c>
      <c r="K46" s="146" t="s">
        <v>327</v>
      </c>
      <c r="L46" s="139" t="s">
        <v>318</v>
      </c>
      <c r="M46" s="139" t="s">
        <v>319</v>
      </c>
      <c r="N46" s="139" t="s">
        <v>321</v>
      </c>
      <c r="O46" s="139" t="s">
        <v>322</v>
      </c>
      <c r="P46" s="137" t="s">
        <v>30</v>
      </c>
    </row>
    <row r="47" spans="4:16" x14ac:dyDescent="0.25">
      <c r="D47" s="135" t="s">
        <v>176</v>
      </c>
      <c r="E47" s="136">
        <v>6</v>
      </c>
      <c r="F47" s="136">
        <v>6</v>
      </c>
      <c r="G47" s="136">
        <v>6</v>
      </c>
      <c r="H47" s="136">
        <v>6</v>
      </c>
      <c r="I47" s="136">
        <v>5</v>
      </c>
      <c r="J47" s="136">
        <v>5</v>
      </c>
      <c r="K47" s="147">
        <v>5</v>
      </c>
      <c r="L47" s="136">
        <v>6</v>
      </c>
      <c r="M47" s="136">
        <v>14</v>
      </c>
      <c r="N47" s="136">
        <v>7</v>
      </c>
      <c r="O47" s="136"/>
      <c r="P47" s="136">
        <v>66</v>
      </c>
    </row>
    <row r="48" spans="4:16" x14ac:dyDescent="0.25">
      <c r="D48" s="77" t="s">
        <v>67</v>
      </c>
      <c r="E48" s="29"/>
      <c r="F48" s="29"/>
      <c r="G48" s="29"/>
      <c r="H48" s="29"/>
      <c r="I48" s="29"/>
      <c r="J48" s="29"/>
      <c r="K48" s="144"/>
      <c r="L48" s="29"/>
      <c r="M48" s="29">
        <v>1</v>
      </c>
      <c r="N48" s="29"/>
      <c r="O48" s="29"/>
      <c r="P48" s="29">
        <v>1</v>
      </c>
    </row>
    <row r="49" spans="4:16" x14ac:dyDescent="0.25">
      <c r="D49" s="31" t="s">
        <v>40</v>
      </c>
      <c r="E49" s="29">
        <v>1</v>
      </c>
      <c r="F49" s="29"/>
      <c r="G49" s="29"/>
      <c r="H49" s="29"/>
      <c r="I49" s="29"/>
      <c r="J49" s="29"/>
      <c r="K49" s="144"/>
      <c r="L49" s="29">
        <v>1</v>
      </c>
      <c r="M49" s="29"/>
      <c r="N49" s="29"/>
      <c r="O49" s="29"/>
      <c r="P49" s="29">
        <v>2</v>
      </c>
    </row>
    <row r="50" spans="4:16" x14ac:dyDescent="0.25">
      <c r="D50" s="31" t="s">
        <v>36</v>
      </c>
      <c r="E50" s="29">
        <v>1</v>
      </c>
      <c r="F50" s="29"/>
      <c r="G50" s="29">
        <v>1</v>
      </c>
      <c r="H50" s="29">
        <v>1</v>
      </c>
      <c r="I50" s="29"/>
      <c r="J50" s="29"/>
      <c r="K50" s="144"/>
      <c r="L50" s="29"/>
      <c r="M50" s="29"/>
      <c r="N50" s="29"/>
      <c r="O50" s="29"/>
      <c r="P50" s="29">
        <v>3</v>
      </c>
    </row>
    <row r="51" spans="4:16" x14ac:dyDescent="0.25">
      <c r="D51" s="31" t="s">
        <v>65</v>
      </c>
      <c r="E51" s="29"/>
      <c r="F51" s="29">
        <v>1</v>
      </c>
      <c r="G51" s="29">
        <v>1</v>
      </c>
      <c r="H51" s="29"/>
      <c r="I51" s="29"/>
      <c r="J51" s="29"/>
      <c r="K51" s="144"/>
      <c r="L51" s="29"/>
      <c r="M51" s="29">
        <v>1</v>
      </c>
      <c r="N51" s="29"/>
      <c r="O51" s="29"/>
      <c r="P51" s="29">
        <v>3</v>
      </c>
    </row>
    <row r="52" spans="4:16" x14ac:dyDescent="0.25">
      <c r="D52" s="31" t="s">
        <v>66</v>
      </c>
      <c r="E52" s="29"/>
      <c r="F52" s="29">
        <v>1</v>
      </c>
      <c r="G52" s="29"/>
      <c r="H52" s="29"/>
      <c r="I52" s="29"/>
      <c r="J52" s="29"/>
      <c r="K52" s="144"/>
      <c r="L52" s="29"/>
      <c r="M52" s="29">
        <v>1</v>
      </c>
      <c r="N52" s="29">
        <v>1</v>
      </c>
      <c r="O52" s="29"/>
      <c r="P52" s="29">
        <v>3</v>
      </c>
    </row>
    <row r="53" spans="4:16" x14ac:dyDescent="0.25">
      <c r="D53" s="31" t="s">
        <v>37</v>
      </c>
      <c r="E53" s="29">
        <v>4</v>
      </c>
      <c r="F53" s="29">
        <v>4</v>
      </c>
      <c r="G53" s="29">
        <v>4</v>
      </c>
      <c r="H53" s="29">
        <v>5</v>
      </c>
      <c r="I53" s="29">
        <v>5</v>
      </c>
      <c r="J53" s="29">
        <v>5</v>
      </c>
      <c r="K53" s="144">
        <v>5</v>
      </c>
      <c r="L53" s="29">
        <v>5</v>
      </c>
      <c r="M53" s="29">
        <v>11</v>
      </c>
      <c r="N53" s="29">
        <v>6</v>
      </c>
      <c r="O53" s="29"/>
      <c r="P53" s="29">
        <v>54</v>
      </c>
    </row>
    <row r="54" spans="4:16" x14ac:dyDescent="0.25">
      <c r="D54" s="135" t="s">
        <v>177</v>
      </c>
      <c r="E54" s="136">
        <v>7</v>
      </c>
      <c r="F54" s="136">
        <v>7</v>
      </c>
      <c r="G54" s="136">
        <v>6</v>
      </c>
      <c r="H54" s="136">
        <v>7</v>
      </c>
      <c r="I54" s="136">
        <v>7</v>
      </c>
      <c r="J54" s="136">
        <v>8</v>
      </c>
      <c r="K54" s="143">
        <v>7</v>
      </c>
      <c r="L54" s="136">
        <v>8</v>
      </c>
      <c r="M54" s="136">
        <v>12</v>
      </c>
      <c r="N54" s="136">
        <v>14</v>
      </c>
      <c r="O54" s="136"/>
      <c r="P54" s="136">
        <v>83</v>
      </c>
    </row>
    <row r="55" spans="4:16" x14ac:dyDescent="0.25">
      <c r="D55" s="77" t="s">
        <v>37</v>
      </c>
      <c r="E55" s="29">
        <v>7</v>
      </c>
      <c r="F55" s="29">
        <v>7</v>
      </c>
      <c r="G55" s="29">
        <v>6</v>
      </c>
      <c r="H55" s="29">
        <v>7</v>
      </c>
      <c r="I55" s="29">
        <v>7</v>
      </c>
      <c r="J55" s="29">
        <v>8</v>
      </c>
      <c r="K55" s="144">
        <v>7</v>
      </c>
      <c r="L55" s="29">
        <v>8</v>
      </c>
      <c r="M55" s="29">
        <v>12</v>
      </c>
      <c r="N55" s="29">
        <v>14</v>
      </c>
      <c r="O55" s="29"/>
      <c r="P55" s="29">
        <v>83</v>
      </c>
    </row>
    <row r="56" spans="4:16" x14ac:dyDescent="0.25">
      <c r="D56" s="135" t="s">
        <v>178</v>
      </c>
      <c r="E56" s="136">
        <v>4</v>
      </c>
      <c r="F56" s="136">
        <v>1</v>
      </c>
      <c r="G56" s="136">
        <v>2</v>
      </c>
      <c r="H56" s="136">
        <v>8</v>
      </c>
      <c r="I56" s="136">
        <v>2</v>
      </c>
      <c r="J56" s="136">
        <v>3</v>
      </c>
      <c r="K56" s="143">
        <v>1</v>
      </c>
      <c r="L56" s="136">
        <v>7</v>
      </c>
      <c r="M56" s="136">
        <v>2</v>
      </c>
      <c r="N56" s="136">
        <v>33</v>
      </c>
      <c r="O56" s="136">
        <v>9</v>
      </c>
      <c r="P56" s="136">
        <v>72</v>
      </c>
    </row>
    <row r="57" spans="4:16" x14ac:dyDescent="0.25">
      <c r="D57" s="77" t="s">
        <v>67</v>
      </c>
      <c r="E57" s="29"/>
      <c r="F57" s="29"/>
      <c r="G57" s="29"/>
      <c r="H57" s="29"/>
      <c r="I57" s="29">
        <v>1</v>
      </c>
      <c r="J57" s="29"/>
      <c r="K57" s="144"/>
      <c r="L57" s="29"/>
      <c r="M57" s="29"/>
      <c r="N57" s="29"/>
      <c r="O57" s="29"/>
      <c r="P57" s="29">
        <v>1</v>
      </c>
    </row>
    <row r="58" spans="4:16" x14ac:dyDescent="0.25">
      <c r="D58" s="31" t="s">
        <v>36</v>
      </c>
      <c r="E58" s="29"/>
      <c r="F58" s="29"/>
      <c r="G58" s="29"/>
      <c r="H58" s="29">
        <v>1</v>
      </c>
      <c r="I58" s="29"/>
      <c r="J58" s="29"/>
      <c r="K58" s="144"/>
      <c r="L58" s="29"/>
      <c r="M58" s="29"/>
      <c r="N58" s="29"/>
      <c r="O58" s="29"/>
      <c r="P58" s="29">
        <v>1</v>
      </c>
    </row>
    <row r="59" spans="4:16" x14ac:dyDescent="0.25">
      <c r="D59" s="31" t="s">
        <v>37</v>
      </c>
      <c r="E59" s="29">
        <v>4</v>
      </c>
      <c r="F59" s="29">
        <v>1</v>
      </c>
      <c r="G59" s="29">
        <v>2</v>
      </c>
      <c r="H59" s="29">
        <v>7</v>
      </c>
      <c r="I59" s="29">
        <v>1</v>
      </c>
      <c r="J59" s="29">
        <v>3</v>
      </c>
      <c r="K59" s="144">
        <v>1</v>
      </c>
      <c r="L59" s="29">
        <v>7</v>
      </c>
      <c r="M59" s="29">
        <v>2</v>
      </c>
      <c r="N59" s="29">
        <v>33</v>
      </c>
      <c r="O59" s="29">
        <v>9</v>
      </c>
      <c r="P59" s="29">
        <v>70</v>
      </c>
    </row>
    <row r="60" spans="4:16" ht="15.75" thickBot="1" x14ac:dyDescent="0.3">
      <c r="D60" s="53" t="s">
        <v>30</v>
      </c>
      <c r="E60" s="52">
        <v>17</v>
      </c>
      <c r="F60" s="52">
        <v>14</v>
      </c>
      <c r="G60" s="52">
        <v>14</v>
      </c>
      <c r="H60" s="52">
        <v>21</v>
      </c>
      <c r="I60" s="52">
        <v>14</v>
      </c>
      <c r="J60" s="52">
        <v>16</v>
      </c>
      <c r="K60" s="145">
        <v>13</v>
      </c>
      <c r="L60" s="52">
        <v>21</v>
      </c>
      <c r="M60" s="52">
        <v>28</v>
      </c>
      <c r="N60" s="52">
        <v>54</v>
      </c>
      <c r="O60" s="52">
        <v>9</v>
      </c>
      <c r="P60" s="52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W40"/>
  <sheetViews>
    <sheetView workbookViewId="0">
      <selection activeCell="L16" sqref="L16"/>
    </sheetView>
  </sheetViews>
  <sheetFormatPr baseColWidth="10" defaultRowHeight="15" x14ac:dyDescent="0.25"/>
  <cols>
    <col min="1" max="1" width="11.42578125" style="1"/>
    <col min="2" max="2" width="19.85546875" style="1" bestFit="1" customWidth="1"/>
    <col min="3" max="7" width="14.7109375" style="1" customWidth="1"/>
    <col min="8" max="8" width="19.85546875" style="1" bestFit="1" customWidth="1"/>
    <col min="9" max="12" width="14.7109375" style="1" customWidth="1"/>
    <col min="13" max="17" width="11.42578125" style="1"/>
    <col min="18" max="18" width="15.42578125" style="1" bestFit="1" customWidth="1"/>
    <col min="19" max="16384" width="11.42578125" style="1"/>
  </cols>
  <sheetData>
    <row r="6" spans="2:10" x14ac:dyDescent="0.25">
      <c r="B6"/>
      <c r="C6"/>
      <c r="H6"/>
      <c r="I6"/>
    </row>
    <row r="7" spans="2:10" ht="26.25" x14ac:dyDescent="0.4">
      <c r="B7" s="138" t="s">
        <v>393</v>
      </c>
      <c r="C7"/>
      <c r="H7" s="138" t="s">
        <v>391</v>
      </c>
      <c r="I7"/>
    </row>
    <row r="8" spans="2:10" x14ac:dyDescent="0.25">
      <c r="B8" s="27" t="s">
        <v>374</v>
      </c>
      <c r="C8" s="27" t="s">
        <v>378</v>
      </c>
      <c r="H8" s="27" t="s">
        <v>374</v>
      </c>
      <c r="I8" s="27" t="s">
        <v>371</v>
      </c>
    </row>
    <row r="10" spans="2:10" x14ac:dyDescent="0.25">
      <c r="B10" s="36" t="s">
        <v>29</v>
      </c>
      <c r="C10" s="27" t="s">
        <v>383</v>
      </c>
      <c r="D10" s="27" t="s">
        <v>386</v>
      </c>
      <c r="H10" s="36" t="s">
        <v>29</v>
      </c>
      <c r="I10" s="27" t="s">
        <v>383</v>
      </c>
      <c r="J10" s="27" t="s">
        <v>386</v>
      </c>
    </row>
    <row r="11" spans="2:10" x14ac:dyDescent="0.25">
      <c r="B11" s="169" t="s">
        <v>171</v>
      </c>
      <c r="C11" s="171">
        <v>2</v>
      </c>
      <c r="D11" s="168">
        <v>7608.0760000000009</v>
      </c>
      <c r="H11" s="169" t="s">
        <v>173</v>
      </c>
      <c r="I11" s="171">
        <v>7</v>
      </c>
      <c r="J11" s="168">
        <v>26778.313333333332</v>
      </c>
    </row>
    <row r="12" spans="2:10" x14ac:dyDescent="0.25">
      <c r="B12" s="166" t="s">
        <v>30</v>
      </c>
      <c r="C12" s="50">
        <v>2</v>
      </c>
      <c r="D12" s="167">
        <v>7608.0760000000009</v>
      </c>
      <c r="H12" s="170" t="s">
        <v>175</v>
      </c>
      <c r="I12" s="171">
        <v>2</v>
      </c>
      <c r="J12" s="168">
        <v>7634.0173333333332</v>
      </c>
    </row>
    <row r="13" spans="2:10" x14ac:dyDescent="0.25">
      <c r="B13"/>
      <c r="C13"/>
      <c r="D13"/>
      <c r="H13" s="170" t="s">
        <v>171</v>
      </c>
      <c r="I13" s="171">
        <v>1</v>
      </c>
      <c r="J13" s="168">
        <v>3802.2826666666665</v>
      </c>
    </row>
    <row r="14" spans="2:10" ht="26.25" x14ac:dyDescent="0.4">
      <c r="B14" s="138" t="s">
        <v>394</v>
      </c>
      <c r="C14"/>
      <c r="H14" s="170" t="s">
        <v>172</v>
      </c>
      <c r="I14" s="171">
        <v>3</v>
      </c>
      <c r="J14" s="168">
        <v>11586.767333333333</v>
      </c>
    </row>
    <row r="15" spans="2:10" x14ac:dyDescent="0.25">
      <c r="B15" s="27" t="s">
        <v>375</v>
      </c>
      <c r="C15" s="27" t="s">
        <v>378</v>
      </c>
      <c r="H15" s="170" t="s">
        <v>174</v>
      </c>
      <c r="I15" s="171">
        <v>8</v>
      </c>
      <c r="J15" s="168">
        <v>32991.359333333327</v>
      </c>
    </row>
    <row r="16" spans="2:10" x14ac:dyDescent="0.25">
      <c r="H16" s="166" t="s">
        <v>30</v>
      </c>
      <c r="I16" s="50">
        <v>21</v>
      </c>
      <c r="J16" s="167">
        <v>82792.739999999976</v>
      </c>
    </row>
    <row r="17" spans="2:23" x14ac:dyDescent="0.25">
      <c r="B17" s="36" t="s">
        <v>29</v>
      </c>
      <c r="C17" s="27" t="s">
        <v>384</v>
      </c>
      <c r="D17" s="27" t="s">
        <v>387</v>
      </c>
      <c r="V17"/>
      <c r="W17"/>
    </row>
    <row r="18" spans="2:23" x14ac:dyDescent="0.25">
      <c r="B18" s="169" t="s">
        <v>173</v>
      </c>
      <c r="C18" s="171">
        <v>5</v>
      </c>
      <c r="D18" s="168">
        <v>19611.240000000002</v>
      </c>
    </row>
    <row r="19" spans="2:23" ht="26.25" x14ac:dyDescent="0.4">
      <c r="B19" s="170" t="s">
        <v>175</v>
      </c>
      <c r="C19" s="171">
        <v>1</v>
      </c>
      <c r="D19" s="168">
        <v>3846.3193333333334</v>
      </c>
      <c r="H19" s="138" t="s">
        <v>392</v>
      </c>
      <c r="I19"/>
    </row>
    <row r="20" spans="2:23" x14ac:dyDescent="0.25">
      <c r="B20" s="170" t="s">
        <v>171</v>
      </c>
      <c r="C20" s="171">
        <v>4</v>
      </c>
      <c r="D20" s="168">
        <v>15114.742666666669</v>
      </c>
      <c r="H20" s="27" t="s">
        <v>375</v>
      </c>
      <c r="I20" s="27" t="s">
        <v>371</v>
      </c>
    </row>
    <row r="21" spans="2:23" x14ac:dyDescent="0.25">
      <c r="B21" s="170" t="s">
        <v>172</v>
      </c>
      <c r="C21" s="171">
        <v>2</v>
      </c>
      <c r="D21" s="168">
        <v>7661.56</v>
      </c>
    </row>
    <row r="22" spans="2:23" x14ac:dyDescent="0.25">
      <c r="B22" s="170" t="s">
        <v>174</v>
      </c>
      <c r="C22" s="171">
        <v>4</v>
      </c>
      <c r="D22" s="168">
        <v>15268.007333333335</v>
      </c>
      <c r="H22" s="36" t="s">
        <v>29</v>
      </c>
      <c r="I22" s="27" t="s">
        <v>384</v>
      </c>
      <c r="J22" s="27" t="s">
        <v>387</v>
      </c>
    </row>
    <row r="23" spans="2:23" x14ac:dyDescent="0.25">
      <c r="B23" s="166" t="s">
        <v>30</v>
      </c>
      <c r="C23" s="50">
        <v>16</v>
      </c>
      <c r="D23" s="167">
        <v>61501.86933333335</v>
      </c>
      <c r="H23" s="169" t="s">
        <v>173</v>
      </c>
      <c r="I23" s="171">
        <v>3</v>
      </c>
      <c r="J23" s="168">
        <v>11290</v>
      </c>
    </row>
    <row r="24" spans="2:23" x14ac:dyDescent="0.25">
      <c r="B24"/>
      <c r="C24"/>
      <c r="D24"/>
      <c r="H24" s="170" t="s">
        <v>175</v>
      </c>
      <c r="I24" s="171">
        <v>1</v>
      </c>
      <c r="J24" s="168">
        <v>3787.6979999999999</v>
      </c>
    </row>
    <row r="25" spans="2:23" x14ac:dyDescent="0.25">
      <c r="H25" s="170" t="s">
        <v>171</v>
      </c>
      <c r="I25" s="171">
        <v>1</v>
      </c>
      <c r="J25" s="168">
        <v>3802.2826666666665</v>
      </c>
    </row>
    <row r="26" spans="2:23" x14ac:dyDescent="0.25">
      <c r="B26"/>
      <c r="C26"/>
      <c r="H26" s="170" t="s">
        <v>172</v>
      </c>
      <c r="I26" s="171">
        <v>1</v>
      </c>
      <c r="J26" s="168">
        <v>3925.2073333333333</v>
      </c>
    </row>
    <row r="27" spans="2:23" ht="26.25" x14ac:dyDescent="0.4">
      <c r="B27" s="138" t="s">
        <v>395</v>
      </c>
      <c r="C27"/>
      <c r="H27" s="170" t="s">
        <v>174</v>
      </c>
      <c r="I27" s="171">
        <v>4</v>
      </c>
      <c r="J27" s="168">
        <v>17723.352000000003</v>
      </c>
    </row>
    <row r="28" spans="2:23" x14ac:dyDescent="0.25">
      <c r="B28" s="27" t="s">
        <v>376</v>
      </c>
      <c r="C28" s="27" t="s">
        <v>378</v>
      </c>
      <c r="H28" s="166" t="s">
        <v>30</v>
      </c>
      <c r="I28" s="50">
        <v>10</v>
      </c>
      <c r="J28" s="167">
        <v>40528.54</v>
      </c>
    </row>
    <row r="29" spans="2:23" x14ac:dyDescent="0.25">
      <c r="H29"/>
      <c r="I29"/>
      <c r="J29"/>
    </row>
    <row r="30" spans="2:23" x14ac:dyDescent="0.25">
      <c r="B30" s="36" t="s">
        <v>29</v>
      </c>
      <c r="C30" s="27" t="s">
        <v>385</v>
      </c>
      <c r="D30" s="27" t="s">
        <v>388</v>
      </c>
    </row>
    <row r="31" spans="2:23" ht="26.25" x14ac:dyDescent="0.4">
      <c r="B31" s="169" t="s">
        <v>173</v>
      </c>
      <c r="C31" s="171">
        <v>7</v>
      </c>
      <c r="D31" s="168">
        <v>27147.906666666666</v>
      </c>
      <c r="H31" s="138" t="s">
        <v>396</v>
      </c>
    </row>
    <row r="32" spans="2:23" x14ac:dyDescent="0.25">
      <c r="B32" s="170" t="s">
        <v>175</v>
      </c>
      <c r="C32" s="171">
        <v>2</v>
      </c>
      <c r="D32" s="168">
        <v>7634.0173333333332</v>
      </c>
      <c r="H32" s="27" t="s">
        <v>376</v>
      </c>
      <c r="I32" s="27" t="s">
        <v>371</v>
      </c>
    </row>
    <row r="33" spans="2:10" x14ac:dyDescent="0.25">
      <c r="B33" s="170" t="s">
        <v>171</v>
      </c>
      <c r="C33" s="171">
        <v>4</v>
      </c>
      <c r="D33" s="168">
        <v>15114.742666666669</v>
      </c>
    </row>
    <row r="34" spans="2:10" x14ac:dyDescent="0.25">
      <c r="B34" s="170" t="s">
        <v>172</v>
      </c>
      <c r="C34" s="171">
        <v>2</v>
      </c>
      <c r="D34" s="168">
        <v>7661.56</v>
      </c>
      <c r="H34" s="36" t="s">
        <v>29</v>
      </c>
      <c r="I34" s="27" t="s">
        <v>385</v>
      </c>
      <c r="J34" s="27" t="s">
        <v>388</v>
      </c>
    </row>
    <row r="35" spans="2:10" x14ac:dyDescent="0.25">
      <c r="B35" s="170" t="s">
        <v>174</v>
      </c>
      <c r="C35" s="171">
        <v>7</v>
      </c>
      <c r="D35" s="168">
        <v>26574.613333333335</v>
      </c>
      <c r="H35" s="169" t="s">
        <v>173</v>
      </c>
      <c r="I35" s="171">
        <v>1</v>
      </c>
      <c r="J35" s="168">
        <v>3753.3333333333335</v>
      </c>
    </row>
    <row r="36" spans="2:10" x14ac:dyDescent="0.25">
      <c r="B36" s="166" t="s">
        <v>30</v>
      </c>
      <c r="C36" s="50">
        <v>22</v>
      </c>
      <c r="D36" s="167">
        <v>84132.84</v>
      </c>
      <c r="H36" s="170" t="s">
        <v>171</v>
      </c>
      <c r="I36" s="171">
        <v>1</v>
      </c>
      <c r="J36" s="168">
        <v>3802.2826666666665</v>
      </c>
    </row>
    <row r="37" spans="2:10" x14ac:dyDescent="0.25">
      <c r="H37" s="170" t="s">
        <v>172</v>
      </c>
      <c r="I37" s="171">
        <v>1</v>
      </c>
      <c r="J37" s="168">
        <v>3925.2073333333333</v>
      </c>
    </row>
    <row r="38" spans="2:10" x14ac:dyDescent="0.25">
      <c r="H38" s="170" t="s">
        <v>174</v>
      </c>
      <c r="I38" s="171">
        <v>1</v>
      </c>
      <c r="J38" s="168">
        <v>6416.7460000000001</v>
      </c>
    </row>
    <row r="39" spans="2:10" x14ac:dyDescent="0.25">
      <c r="H39" s="166" t="s">
        <v>30</v>
      </c>
      <c r="I39" s="50">
        <v>4</v>
      </c>
      <c r="J39" s="167">
        <v>17897.569333333333</v>
      </c>
    </row>
    <row r="40" spans="2:10" x14ac:dyDescent="0.25">
      <c r="H40"/>
      <c r="I40"/>
      <c r="J4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8"/>
  <sheetViews>
    <sheetView workbookViewId="0">
      <selection activeCell="B29" sqref="B29"/>
    </sheetView>
  </sheetViews>
  <sheetFormatPr baseColWidth="10" defaultRowHeight="15" x14ac:dyDescent="0.25"/>
  <cols>
    <col min="1" max="16384" width="11.42578125" style="1"/>
  </cols>
  <sheetData>
    <row r="4" spans="2:15" ht="18.75" x14ac:dyDescent="0.3">
      <c r="B4" s="273" t="s">
        <v>298</v>
      </c>
    </row>
    <row r="5" spans="2:15" ht="25.5" x14ac:dyDescent="0.25">
      <c r="B5" s="19" t="s">
        <v>57</v>
      </c>
      <c r="D5" s="20" t="s">
        <v>56</v>
      </c>
      <c r="H5" s="20" t="s">
        <v>28</v>
      </c>
      <c r="J5" s="21" t="s">
        <v>35</v>
      </c>
    </row>
    <row r="6" spans="2:15" x14ac:dyDescent="0.25">
      <c r="B6" s="42" t="s">
        <v>58</v>
      </c>
      <c r="D6" s="114">
        <v>0</v>
      </c>
      <c r="F6" s="261">
        <v>0</v>
      </c>
      <c r="H6" s="42" t="s">
        <v>33</v>
      </c>
      <c r="J6" s="41" t="s">
        <v>37</v>
      </c>
      <c r="L6" s="248" t="s">
        <v>453</v>
      </c>
      <c r="M6" s="248"/>
      <c r="N6" s="248"/>
      <c r="O6" s="248"/>
    </row>
    <row r="7" spans="2:15" x14ac:dyDescent="0.25">
      <c r="B7" s="42" t="s">
        <v>59</v>
      </c>
      <c r="D7" s="114">
        <v>0.1</v>
      </c>
      <c r="F7" s="262"/>
      <c r="H7" s="42" t="s">
        <v>34</v>
      </c>
      <c r="J7" s="41" t="s">
        <v>62</v>
      </c>
      <c r="L7" s="249" t="s">
        <v>452</v>
      </c>
      <c r="M7" s="250"/>
      <c r="N7" s="250"/>
      <c r="O7" s="251"/>
    </row>
    <row r="8" spans="2:15" x14ac:dyDescent="0.25">
      <c r="B8" s="42" t="s">
        <v>39</v>
      </c>
      <c r="D8" s="114">
        <v>0.2</v>
      </c>
      <c r="F8" s="262" t="s">
        <v>454</v>
      </c>
      <c r="J8" s="41" t="s">
        <v>63</v>
      </c>
      <c r="L8" s="252"/>
      <c r="M8" s="253"/>
      <c r="N8" s="253"/>
      <c r="O8" s="254"/>
    </row>
    <row r="9" spans="2:15" x14ac:dyDescent="0.25">
      <c r="B9" s="42" t="s">
        <v>60</v>
      </c>
      <c r="D9" s="114">
        <v>0.3</v>
      </c>
      <c r="F9" s="262"/>
      <c r="J9" s="41" t="s">
        <v>389</v>
      </c>
      <c r="L9" s="252"/>
      <c r="M9" s="253"/>
      <c r="N9" s="253"/>
      <c r="O9" s="254"/>
    </row>
    <row r="10" spans="2:15" x14ac:dyDescent="0.25">
      <c r="B10" s="42" t="s">
        <v>40</v>
      </c>
      <c r="D10" s="114">
        <v>0.4</v>
      </c>
      <c r="F10" s="262"/>
      <c r="J10" s="41" t="s">
        <v>64</v>
      </c>
      <c r="L10" s="252"/>
      <c r="M10" s="253"/>
      <c r="N10" s="253"/>
      <c r="O10" s="254"/>
    </row>
    <row r="11" spans="2:15" x14ac:dyDescent="0.25">
      <c r="D11" s="114">
        <v>0.5</v>
      </c>
      <c r="F11" s="262"/>
      <c r="J11" s="41" t="s">
        <v>36</v>
      </c>
      <c r="L11" s="252"/>
      <c r="M11" s="253"/>
      <c r="N11" s="253"/>
      <c r="O11" s="254"/>
    </row>
    <row r="12" spans="2:15" x14ac:dyDescent="0.25">
      <c r="D12" s="114">
        <v>0.6</v>
      </c>
      <c r="F12" s="262" t="s">
        <v>455</v>
      </c>
      <c r="J12" s="41" t="s">
        <v>65</v>
      </c>
      <c r="L12" s="252"/>
      <c r="M12" s="253"/>
      <c r="N12" s="253"/>
      <c r="O12" s="254"/>
    </row>
    <row r="13" spans="2:15" x14ac:dyDescent="0.25">
      <c r="D13" s="114">
        <v>0.7</v>
      </c>
      <c r="F13" s="262"/>
      <c r="J13" s="41" t="s">
        <v>66</v>
      </c>
      <c r="L13" s="255"/>
      <c r="M13" s="256"/>
      <c r="N13" s="256"/>
      <c r="O13" s="257"/>
    </row>
    <row r="14" spans="2:15" x14ac:dyDescent="0.25">
      <c r="D14" s="114">
        <v>0.8</v>
      </c>
      <c r="F14" s="262" t="s">
        <v>456</v>
      </c>
      <c r="J14" s="41" t="s">
        <v>40</v>
      </c>
      <c r="L14" s="249" t="s">
        <v>40</v>
      </c>
      <c r="M14" s="250"/>
      <c r="N14" s="250"/>
      <c r="O14" s="251"/>
    </row>
    <row r="15" spans="2:15" x14ac:dyDescent="0.25">
      <c r="D15" s="114">
        <v>0.9</v>
      </c>
      <c r="F15" s="262"/>
      <c r="J15" s="41" t="s">
        <v>67</v>
      </c>
      <c r="L15" s="255"/>
      <c r="M15" s="256"/>
      <c r="N15" s="256"/>
      <c r="O15" s="257"/>
    </row>
    <row r="16" spans="2:15" x14ac:dyDescent="0.25">
      <c r="D16" s="114">
        <v>1</v>
      </c>
      <c r="F16" s="261">
        <v>1</v>
      </c>
      <c r="J16" s="41" t="s">
        <v>68</v>
      </c>
      <c r="L16" s="258" t="s">
        <v>68</v>
      </c>
      <c r="M16" s="259"/>
      <c r="N16" s="259"/>
      <c r="O16" s="260"/>
    </row>
    <row r="17" spans="2:15" x14ac:dyDescent="0.25">
      <c r="J17" s="41" t="s">
        <v>150</v>
      </c>
      <c r="L17" s="258" t="s">
        <v>150</v>
      </c>
      <c r="M17" s="259"/>
      <c r="N17" s="259"/>
      <c r="O17" s="260"/>
    </row>
    <row r="19" spans="2:15" ht="18.75" x14ac:dyDescent="0.3">
      <c r="B19" s="273" t="s">
        <v>741</v>
      </c>
    </row>
    <row r="20" spans="2:15" ht="18.75" x14ac:dyDescent="0.3">
      <c r="B20" s="273" t="s">
        <v>742</v>
      </c>
    </row>
    <row r="21" spans="2:15" ht="18.75" x14ac:dyDescent="0.3">
      <c r="B21" s="273" t="s">
        <v>743</v>
      </c>
      <c r="C21" s="272" t="s">
        <v>476</v>
      </c>
    </row>
    <row r="22" spans="2:15" ht="18.75" x14ac:dyDescent="0.3">
      <c r="B22" s="273"/>
      <c r="C22" s="272" t="s">
        <v>480</v>
      </c>
    </row>
    <row r="23" spans="2:15" ht="18.75" x14ac:dyDescent="0.3">
      <c r="B23" s="273"/>
      <c r="C23" s="272" t="s">
        <v>477</v>
      </c>
    </row>
    <row r="24" spans="2:15" ht="18.75" x14ac:dyDescent="0.3">
      <c r="B24" s="273"/>
      <c r="C24" s="272" t="s">
        <v>479</v>
      </c>
    </row>
    <row r="25" spans="2:15" ht="18.75" x14ac:dyDescent="0.3">
      <c r="B25" s="273"/>
      <c r="C25" s="272" t="s">
        <v>478</v>
      </c>
    </row>
    <row r="27" spans="2:15" ht="18.75" x14ac:dyDescent="0.3">
      <c r="B27" s="273" t="s">
        <v>744</v>
      </c>
    </row>
    <row r="28" spans="2:15" ht="18.75" x14ac:dyDescent="0.3">
      <c r="B28" s="273" t="s">
        <v>745</v>
      </c>
    </row>
  </sheetData>
  <mergeCells count="5">
    <mergeCell ref="L6:O6"/>
    <mergeCell ref="L7:O13"/>
    <mergeCell ref="L14:O15"/>
    <mergeCell ref="L17:O17"/>
    <mergeCell ref="L16:O1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7"/>
  <sheetViews>
    <sheetView zoomScale="90" zoomScaleNormal="90" workbookViewId="0"/>
  </sheetViews>
  <sheetFormatPr baseColWidth="10" defaultRowHeight="15" x14ac:dyDescent="0.25"/>
  <cols>
    <col min="1" max="1" width="11.42578125" style="1"/>
    <col min="2" max="2" width="16" style="1" customWidth="1"/>
    <col min="3" max="3" width="11.42578125" style="1"/>
    <col min="4" max="4" width="15.42578125" style="1" customWidth="1"/>
    <col min="5" max="5" width="11.42578125" style="1"/>
    <col min="6" max="6" width="16" style="1" customWidth="1"/>
    <col min="7" max="7" width="11.42578125" style="1"/>
    <col min="8" max="8" width="16.5703125" style="1" customWidth="1"/>
    <col min="9" max="14" width="11.42578125" style="1"/>
    <col min="15" max="15" width="30.85546875" style="1" bestFit="1" customWidth="1"/>
    <col min="16" max="16384" width="11.42578125" style="1"/>
  </cols>
  <sheetData>
    <row r="2" spans="2:20" ht="15.75" thickBot="1" x14ac:dyDescent="0.3"/>
    <row r="3" spans="2:20" x14ac:dyDescent="0.25">
      <c r="B3" s="178" t="s">
        <v>0</v>
      </c>
      <c r="D3" s="178" t="s">
        <v>1</v>
      </c>
      <c r="F3" s="178" t="s">
        <v>2</v>
      </c>
      <c r="H3" s="178" t="s">
        <v>3</v>
      </c>
      <c r="O3" s="280" t="s">
        <v>481</v>
      </c>
      <c r="P3" s="275"/>
      <c r="Q3" s="275"/>
      <c r="R3" s="275"/>
      <c r="S3" s="275"/>
      <c r="T3" s="275"/>
    </row>
    <row r="4" spans="2:20" x14ac:dyDescent="0.25">
      <c r="B4" s="179" t="s">
        <v>397</v>
      </c>
      <c r="D4" s="179">
        <v>1</v>
      </c>
      <c r="F4" s="179">
        <v>3</v>
      </c>
      <c r="H4" s="179">
        <v>23</v>
      </c>
      <c r="L4" s="89"/>
      <c r="M4" s="1" t="s">
        <v>398</v>
      </c>
      <c r="O4" s="278" t="s">
        <v>482</v>
      </c>
      <c r="P4" s="275" t="s">
        <v>483</v>
      </c>
      <c r="Q4" s="275"/>
      <c r="R4" s="275"/>
      <c r="S4" s="275"/>
      <c r="T4" s="275"/>
    </row>
    <row r="5" spans="2:20" x14ac:dyDescent="0.25">
      <c r="L5" s="180"/>
      <c r="M5" s="1" t="s">
        <v>399</v>
      </c>
      <c r="O5" s="278" t="s">
        <v>491</v>
      </c>
      <c r="P5" s="275" t="s">
        <v>484</v>
      </c>
      <c r="Q5" s="275"/>
      <c r="R5" s="275"/>
      <c r="S5" s="275"/>
      <c r="T5" s="275"/>
    </row>
    <row r="6" spans="2:20" x14ac:dyDescent="0.25">
      <c r="B6" s="181" t="s">
        <v>24</v>
      </c>
      <c r="D6" s="182" t="s">
        <v>299</v>
      </c>
      <c r="E6" s="183"/>
      <c r="F6" s="183"/>
      <c r="H6" s="184" t="s">
        <v>25</v>
      </c>
      <c r="L6" s="185"/>
      <c r="M6" s="1" t="s">
        <v>400</v>
      </c>
      <c r="O6" s="278" t="s">
        <v>492</v>
      </c>
      <c r="P6" s="275" t="s">
        <v>494</v>
      </c>
      <c r="Q6" s="275"/>
      <c r="R6" s="275"/>
      <c r="S6" s="275"/>
      <c r="T6" s="275"/>
    </row>
    <row r="7" spans="2:20" ht="15.75" thickBot="1" x14ac:dyDescent="0.3">
      <c r="B7" s="186" t="str">
        <f>TEXT(D4,"00")&amp;TEXT(F4,"00")&amp;TEXT(H4,"00")</f>
        <v>010323</v>
      </c>
      <c r="D7" s="187" t="s">
        <v>401</v>
      </c>
      <c r="E7" s="187"/>
      <c r="F7" s="187"/>
      <c r="H7" s="89" t="s">
        <v>402</v>
      </c>
      <c r="O7" s="279" t="s">
        <v>493</v>
      </c>
      <c r="P7" s="275" t="s">
        <v>495</v>
      </c>
      <c r="Q7" s="275"/>
      <c r="R7" s="275"/>
      <c r="S7" s="275"/>
      <c r="T7" s="275"/>
    </row>
    <row r="9" spans="2:20" x14ac:dyDescent="0.25">
      <c r="B9" s="178" t="s">
        <v>5</v>
      </c>
      <c r="D9" s="182" t="s">
        <v>4</v>
      </c>
      <c r="E9" s="183"/>
      <c r="F9" s="183"/>
      <c r="H9" s="188" t="s">
        <v>300</v>
      </c>
    </row>
    <row r="10" spans="2:20" x14ac:dyDescent="0.25">
      <c r="B10" s="179" t="s">
        <v>306</v>
      </c>
      <c r="C10" s="189"/>
      <c r="D10" s="187" t="s">
        <v>403</v>
      </c>
      <c r="E10" s="187"/>
      <c r="F10" s="187"/>
      <c r="G10" s="189"/>
      <c r="H10" s="179" t="s">
        <v>404</v>
      </c>
    </row>
    <row r="11" spans="2:20" x14ac:dyDescent="0.25">
      <c r="K11" s="189"/>
      <c r="M11" s="189"/>
    </row>
    <row r="12" spans="2:20" x14ac:dyDescent="0.25">
      <c r="B12" s="190" t="s">
        <v>355</v>
      </c>
      <c r="D12" s="190" t="s">
        <v>354</v>
      </c>
      <c r="F12" s="184" t="s">
        <v>26</v>
      </c>
    </row>
    <row r="13" spans="2:20" ht="18.75" x14ac:dyDescent="0.3">
      <c r="B13" s="89">
        <v>80</v>
      </c>
      <c r="D13" s="89">
        <v>106</v>
      </c>
      <c r="F13" s="191">
        <v>978000</v>
      </c>
      <c r="K13" s="192" t="s">
        <v>406</v>
      </c>
      <c r="L13" s="192" t="s">
        <v>405</v>
      </c>
      <c r="M13" s="192" t="s">
        <v>407</v>
      </c>
    </row>
    <row r="14" spans="2:20" x14ac:dyDescent="0.25">
      <c r="K14" s="42" t="s">
        <v>58</v>
      </c>
      <c r="L14" s="42" t="s">
        <v>33</v>
      </c>
      <c r="M14" s="114">
        <v>0.1</v>
      </c>
    </row>
    <row r="15" spans="2:20" ht="25.5" x14ac:dyDescent="0.25">
      <c r="B15" s="193" t="s">
        <v>55</v>
      </c>
      <c r="D15" s="193" t="s">
        <v>43</v>
      </c>
      <c r="F15" s="193" t="s">
        <v>56</v>
      </c>
      <c r="H15" s="263" t="s">
        <v>457</v>
      </c>
      <c r="K15" s="42" t="s">
        <v>59</v>
      </c>
      <c r="L15" s="42" t="s">
        <v>34</v>
      </c>
      <c r="M15" s="114">
        <v>0.2</v>
      </c>
    </row>
    <row r="16" spans="2:20" ht="18.75" x14ac:dyDescent="0.3">
      <c r="B16" s="25">
        <v>41228</v>
      </c>
      <c r="D16" s="194" t="str">
        <f>IF(DAY(B16)&lt;15,"1RA","2DA")&amp;"-"&amp;(IF(MONTH(B16)=1,"ENE","")&amp;IF(MONTH(B16)=2,"FEB","")&amp;IF(MONTH(B16)=3,"MAR","")&amp;IF(MONTH(B16)=4,"ABR","")&amp;IF(MONTH(B16)=5,"MAY","")&amp;IF(MONTH(B16)=6,"JUN","")&amp;IF(MONTH(B16)=7,"JUL","")&amp;IF(MONTH(B16)=8,"AGO","")&amp;IF(MONTH(B16)=9,"SEP","")&amp;IF(MONTH(B16)=10,"OCT","")&amp;IF(MONTH(B16)=11,"NOV","")&amp;IF(MONTH(B16)=12,"DIC",""))</f>
        <v>2DA-NOV</v>
      </c>
      <c r="F16" s="264" t="s">
        <v>407</v>
      </c>
      <c r="G16" s="27"/>
      <c r="H16" s="265" t="s">
        <v>406</v>
      </c>
      <c r="K16" s="42" t="s">
        <v>39</v>
      </c>
      <c r="M16" s="114">
        <v>0.3</v>
      </c>
    </row>
    <row r="17" spans="2:13" x14ac:dyDescent="0.25">
      <c r="K17" s="42" t="s">
        <v>60</v>
      </c>
      <c r="M17" s="114">
        <v>0.4</v>
      </c>
    </row>
    <row r="18" spans="2:13" ht="25.5" x14ac:dyDescent="0.25">
      <c r="B18" s="193" t="s">
        <v>28</v>
      </c>
      <c r="D18" s="195" t="s">
        <v>351</v>
      </c>
      <c r="F18" s="196" t="s">
        <v>350</v>
      </c>
      <c r="H18" s="184" t="s">
        <v>69</v>
      </c>
      <c r="K18" s="42" t="s">
        <v>40</v>
      </c>
      <c r="M18" s="114">
        <v>0.5</v>
      </c>
    </row>
    <row r="19" spans="2:13" ht="18.75" x14ac:dyDescent="0.3">
      <c r="B19" s="265" t="s">
        <v>405</v>
      </c>
      <c r="D19" s="179" t="s">
        <v>352</v>
      </c>
      <c r="F19" s="197">
        <v>41120</v>
      </c>
      <c r="H19" s="191">
        <v>650000</v>
      </c>
      <c r="M19" s="114">
        <v>0.6</v>
      </c>
    </row>
    <row r="20" spans="2:13" x14ac:dyDescent="0.25">
      <c r="M20" s="114">
        <v>0.7</v>
      </c>
    </row>
    <row r="21" spans="2:13" ht="25.5" x14ac:dyDescent="0.25">
      <c r="B21" s="184" t="s">
        <v>329</v>
      </c>
      <c r="D21" s="184" t="s">
        <v>330</v>
      </c>
      <c r="F21" s="184" t="s">
        <v>346</v>
      </c>
      <c r="H21" s="184" t="s">
        <v>347</v>
      </c>
      <c r="M21" s="114">
        <v>0.8</v>
      </c>
    </row>
    <row r="22" spans="2:13" x14ac:dyDescent="0.25">
      <c r="B22" s="191">
        <v>358000</v>
      </c>
      <c r="D22" s="198">
        <f>+H19-B22</f>
        <v>292000</v>
      </c>
      <c r="F22" s="191">
        <v>0</v>
      </c>
      <c r="H22" s="198">
        <f>+B22-F22</f>
        <v>358000</v>
      </c>
      <c r="M22" s="114">
        <v>0.9</v>
      </c>
    </row>
    <row r="23" spans="2:13" x14ac:dyDescent="0.25">
      <c r="M23" s="114">
        <v>1</v>
      </c>
    </row>
    <row r="25" spans="2:13" x14ac:dyDescent="0.25">
      <c r="B25" s="184" t="s">
        <v>331</v>
      </c>
      <c r="D25" s="184" t="s">
        <v>332</v>
      </c>
    </row>
    <row r="26" spans="2:13" x14ac:dyDescent="0.25">
      <c r="B26" s="199">
        <f>B22/H19</f>
        <v>0.55076923076923079</v>
      </c>
      <c r="C26" s="200"/>
      <c r="D26" s="199">
        <f>1-B26</f>
        <v>0.44923076923076921</v>
      </c>
    </row>
    <row r="29" spans="2:13" x14ac:dyDescent="0.25">
      <c r="B29" s="184" t="s">
        <v>408</v>
      </c>
      <c r="D29" s="184" t="s">
        <v>409</v>
      </c>
      <c r="F29" s="184" t="s">
        <v>410</v>
      </c>
    </row>
    <row r="30" spans="2:13" x14ac:dyDescent="0.25">
      <c r="B30" s="201" t="s">
        <v>411</v>
      </c>
      <c r="C30" s="189"/>
      <c r="D30" s="201" t="s">
        <v>412</v>
      </c>
      <c r="E30" s="189"/>
      <c r="F30" s="201" t="s">
        <v>413</v>
      </c>
    </row>
    <row r="33" spans="2:6" ht="28.5" customHeight="1" x14ac:dyDescent="0.25">
      <c r="B33" s="184" t="s">
        <v>310</v>
      </c>
      <c r="D33" s="184" t="s">
        <v>311</v>
      </c>
      <c r="F33" s="184" t="s">
        <v>312</v>
      </c>
    </row>
    <row r="34" spans="2:6" x14ac:dyDescent="0.25">
      <c r="B34" s="202">
        <v>41029</v>
      </c>
      <c r="C34" s="203"/>
      <c r="D34" s="202">
        <v>40998</v>
      </c>
      <c r="E34" s="203"/>
      <c r="F34" s="202">
        <v>41105</v>
      </c>
    </row>
    <row r="36" spans="2:6" x14ac:dyDescent="0.25">
      <c r="B36" s="204" t="s">
        <v>307</v>
      </c>
      <c r="D36" s="204" t="s">
        <v>308</v>
      </c>
      <c r="F36" s="204" t="s">
        <v>309</v>
      </c>
    </row>
    <row r="37" spans="2:6" x14ac:dyDescent="0.25">
      <c r="B37" s="205" t="str">
        <f ca="1">IF(B34=0,"ND",IF(TODAY()-B34&lt;=5,"HASTA 5 DIAS","")&amp;IF(TODAY()-B34&gt;5,IF(TODAY()-B34&lt;=10,"DE 6 A 10 DIAS",""),"")&amp;IF(TODAY()-B34&gt;10,IF(TODAY()-B34&lt;=15,"DE 11 A 15 DIAS",""),"")&amp;IF(TODAY()-B34&gt;15,IF(TODAY()-B34&lt;=20,"DE 16 A 20 DIAS",""),"")&amp;IF(TODAY()-B34&gt;20,IF(TODAY()-B34&lt;=25,"DE 21 A 25 DIAS",""),"")&amp;IF(TODAY()-B34&gt;25,IF(TODAY()-B34&lt;=29,"DE 26 A 29 DIAS",""),"")&amp;IF(TODAY()-B34=30,"30 DIAS","")&amp;IF(TODAY()-B34&gt;30,IF(TODAY()-B34&lt;=35,"DE 31 A 35 DIAS",""),"")&amp;IF(TODAY()-B34&gt;35,IF(TODAY()-B34&lt;=45,"DE 36 A 45 DIAS",""),"")&amp;IF(TODAY()-B34&gt;45,"MAYOR A 45 DIAS",""))</f>
        <v>MAYOR A 45 DIAS</v>
      </c>
      <c r="D37" s="205" t="str">
        <f ca="1">IF(D34=0,"ND",IF(TODAY()-D34&lt;=5,"HASTA 5 DIAS","")&amp;IF(TODAY()-D34&gt;5,IF(TODAY()-D34&lt;=10,"DE 6 A 10 DIAS",""),"")&amp;IF(TODAY()-D34&gt;10,IF(TODAY()-D34&lt;=15,"DE 11 A 15 DIAS",""),"")&amp;IF(TODAY()-D34&gt;15,IF(TODAY()-D34&lt;=20,"DE 16 A 20 DIAS",""),"")&amp;IF(TODAY()-D34&gt;20,IF(TODAY()-D34&lt;=25,"DE 21 A 25 DIAS",""),"")&amp;IF(TODAY()-D34&gt;25,IF(TODAY()-D34&lt;=29,"DE 26 A 29 DIAS",""),"")&amp;IF(TODAY()-D34=30,"30 DIAS","")&amp;IF(TODAY()-D34&gt;30,IF(TODAY()-D34&lt;=35,"DE 31 A 35 DIAS",""),"")&amp;IF(TODAY()-D34&gt;35,IF(TODAY()-D34&lt;=45,"DE 36 A 45 DIAS",""),"")&amp;IF(TODAY()-D34&gt;45,"MAYOR A 45 DIAS",""))</f>
        <v>MAYOR A 45 DIAS</v>
      </c>
      <c r="F37" s="205" t="str">
        <f ca="1">IF(F34=0,"ND",IF(TODAY()-F34&lt;=5,"HASTA 5 DIAS","")&amp;IF(TODAY()-F34&gt;5,IF(TODAY()-F34&lt;=10,"DE 6 A 10 DIAS",""),"")&amp;IF(TODAY()-F34&gt;10,IF(TODAY()-F34&lt;=15,"DE 11 A 15 DIAS",""),"")&amp;IF(TODAY()-F34&gt;15,IF(TODAY()-F34&lt;=20,"DE 16 A 20 DIAS",""),"")&amp;IF(TODAY()-F34&gt;20,IF(TODAY()-F34&lt;=25,"DE 21 A 25 DIAS",""),"")&amp;IF(TODAY()-F34&gt;25,IF(TODAY()-F34&lt;=29,"DE 26 A 29 DIAS",""),"")&amp;IF(TODAY()-F34=30,"30 DIAS","")&amp;IF(TODAY()-F34&gt;30,IF(TODAY()-F34&lt;=35,"DE 31 A 35 DIAS",""),"")&amp;IF(TODAY()-F34&gt;35,IF(TODAY()-F34&lt;=45,"DE 36 A 45 DIAS",""),"")&amp;IF(TODAY()-F34&gt;45,"MAYOR A 45 DIAS",""))</f>
        <v>DE 16 A 20 DIAS</v>
      </c>
    </row>
  </sheetData>
  <mergeCells count="4">
    <mergeCell ref="D6:F6"/>
    <mergeCell ref="D7:F7"/>
    <mergeCell ref="D9:F9"/>
    <mergeCell ref="D10:F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0"/>
  <sheetViews>
    <sheetView workbookViewId="0">
      <selection activeCell="A2" sqref="A2"/>
    </sheetView>
  </sheetViews>
  <sheetFormatPr baseColWidth="10" defaultRowHeight="15" x14ac:dyDescent="0.25"/>
  <cols>
    <col min="1" max="1" width="11.42578125" style="1"/>
    <col min="2" max="2" width="12.85546875" style="1" customWidth="1"/>
    <col min="3" max="7" width="11.42578125" style="1"/>
    <col min="8" max="8" width="13" style="1" customWidth="1"/>
    <col min="9" max="11" width="11.42578125" style="1"/>
    <col min="12" max="12" width="13.28515625" style="1" customWidth="1"/>
    <col min="13" max="16" width="11.42578125" style="1"/>
    <col min="17" max="17" width="25.140625" style="1" bestFit="1" customWidth="1"/>
    <col min="18" max="16384" width="11.42578125" style="1"/>
  </cols>
  <sheetData>
    <row r="1" spans="2:23" x14ac:dyDescent="0.25">
      <c r="B1" s="206" t="s">
        <v>414</v>
      </c>
      <c r="L1" s="89"/>
      <c r="M1" s="1" t="s">
        <v>398</v>
      </c>
    </row>
    <row r="2" spans="2:23" x14ac:dyDescent="0.25">
      <c r="B2" s="207" t="s">
        <v>415</v>
      </c>
      <c r="L2" s="180"/>
      <c r="M2" s="1" t="s">
        <v>399</v>
      </c>
    </row>
    <row r="3" spans="2:23" x14ac:dyDescent="0.25">
      <c r="L3" s="185"/>
      <c r="M3" s="1" t="s">
        <v>400</v>
      </c>
    </row>
    <row r="4" spans="2:23" x14ac:dyDescent="0.25">
      <c r="B4" s="206" t="s">
        <v>46</v>
      </c>
      <c r="D4" s="208" t="s">
        <v>44</v>
      </c>
      <c r="E4" s="208"/>
      <c r="F4" s="208"/>
      <c r="G4" s="208"/>
      <c r="H4" s="208"/>
      <c r="L4" s="209"/>
      <c r="M4" s="1" t="s">
        <v>458</v>
      </c>
    </row>
    <row r="5" spans="2:23" x14ac:dyDescent="0.25">
      <c r="B5" s="25">
        <v>41044</v>
      </c>
      <c r="D5" s="210" t="s">
        <v>416</v>
      </c>
      <c r="E5" s="210"/>
      <c r="F5" s="210"/>
      <c r="G5" s="210"/>
      <c r="H5" s="210"/>
    </row>
    <row r="6" spans="2:23" ht="15.75" thickBot="1" x14ac:dyDescent="0.3">
      <c r="L6" s="211" t="s">
        <v>405</v>
      </c>
      <c r="M6" s="211" t="s">
        <v>407</v>
      </c>
      <c r="N6" s="211" t="s">
        <v>406</v>
      </c>
      <c r="O6" s="211" t="s">
        <v>417</v>
      </c>
    </row>
    <row r="7" spans="2:23" ht="25.5" x14ac:dyDescent="0.25">
      <c r="B7" s="206" t="s">
        <v>161</v>
      </c>
      <c r="D7" s="208" t="s">
        <v>301</v>
      </c>
      <c r="E7" s="208"/>
      <c r="F7" s="208"/>
      <c r="G7" s="208"/>
      <c r="H7" s="208"/>
      <c r="L7" s="41" t="s">
        <v>71</v>
      </c>
      <c r="M7" s="212" t="s">
        <v>38</v>
      </c>
      <c r="N7" s="41" t="s">
        <v>79</v>
      </c>
      <c r="O7" s="41" t="s">
        <v>418</v>
      </c>
      <c r="Q7" s="280" t="s">
        <v>481</v>
      </c>
      <c r="R7" s="275"/>
      <c r="S7" s="275"/>
      <c r="T7" s="275"/>
      <c r="U7" s="275"/>
      <c r="V7" s="275"/>
      <c r="W7" s="275"/>
    </row>
    <row r="8" spans="2:23" x14ac:dyDescent="0.25">
      <c r="B8" s="213" t="str">
        <f ca="1">IF(B5="","NA",IF(TODAY()-B5&lt;=3,"HASTA 3 DIAS","")&amp;IF(TODAY()-B5&gt;3,IF(TODAY()-B5&lt;=7,"1RA SEM",""),"")&amp;IF(TODAY()-B5&gt;7,IF(TODAY()-B5&lt;=14,"2DA SEM",""),"")&amp;IF(TODAY()-B5&gt;14,IF(TODAY()-B5&lt;=21,"3RA SEM",""),"")&amp;IF(TODAY()-B5&gt;21,IF(TODAY()-B5&lt;=28,"4TA SEM",""),"")&amp;IF(TODAY()-B5&gt;28,IF(TODAY()-B5&lt;=35,"5TA SEM",""),"")&amp;IF(TODAY()-B5&gt;35,IF(TODAY()-B5&lt;=42,"6TA SEM",""),"")&amp;IF(TODAY()-B5&gt;42,IF(TODAY()-B5&lt;=49,"7MA SEM",""),"")&amp;IF(TODAY()-B5&gt;49,IF(TODAY()-B5&lt;=56,"8VA SEM",""),"")&amp;IF(TODAY()-B5&gt;56,"MAYOR A 2 MESES",""))</f>
        <v>MAYOR A 2 MESES</v>
      </c>
      <c r="D8" s="210" t="s">
        <v>419</v>
      </c>
      <c r="E8" s="210"/>
      <c r="F8" s="210"/>
      <c r="G8" s="210"/>
      <c r="H8" s="210"/>
      <c r="L8" s="41" t="s">
        <v>70</v>
      </c>
      <c r="M8" s="41" t="s">
        <v>76</v>
      </c>
      <c r="N8" s="23" t="s">
        <v>85</v>
      </c>
      <c r="O8" s="41" t="s">
        <v>420</v>
      </c>
      <c r="Q8" s="278" t="s">
        <v>482</v>
      </c>
      <c r="R8" s="275" t="s">
        <v>483</v>
      </c>
      <c r="S8" s="275"/>
      <c r="T8" s="275"/>
      <c r="U8" s="275"/>
      <c r="V8" s="275"/>
      <c r="W8" s="275"/>
    </row>
    <row r="9" spans="2:23" x14ac:dyDescent="0.25">
      <c r="L9" s="41" t="s">
        <v>72</v>
      </c>
      <c r="M9" s="41" t="s">
        <v>77</v>
      </c>
      <c r="N9" s="41" t="s">
        <v>80</v>
      </c>
      <c r="O9" s="41" t="s">
        <v>421</v>
      </c>
      <c r="Q9" s="278" t="s">
        <v>490</v>
      </c>
      <c r="R9" s="275" t="s">
        <v>485</v>
      </c>
      <c r="S9" s="275"/>
      <c r="T9" s="275"/>
      <c r="U9" s="275"/>
      <c r="V9" s="275"/>
      <c r="W9" s="275"/>
    </row>
    <row r="10" spans="2:23" x14ac:dyDescent="0.25">
      <c r="B10" s="206" t="s">
        <v>302</v>
      </c>
      <c r="D10" s="206" t="s">
        <v>303</v>
      </c>
      <c r="F10" s="206" t="s">
        <v>304</v>
      </c>
      <c r="H10" s="206" t="s">
        <v>305</v>
      </c>
      <c r="L10" s="41" t="s">
        <v>73</v>
      </c>
      <c r="M10" s="41" t="s">
        <v>78</v>
      </c>
      <c r="N10" s="41" t="s">
        <v>81</v>
      </c>
      <c r="O10" s="41" t="s">
        <v>422</v>
      </c>
      <c r="Q10" s="278" t="s">
        <v>486</v>
      </c>
      <c r="R10" s="275" t="s">
        <v>487</v>
      </c>
      <c r="S10" s="275"/>
      <c r="T10" s="275"/>
      <c r="U10" s="275"/>
      <c r="V10" s="275"/>
      <c r="W10" s="275"/>
    </row>
    <row r="11" spans="2:23" x14ac:dyDescent="0.25">
      <c r="B11" s="8" t="s">
        <v>423</v>
      </c>
      <c r="C11" s="27"/>
      <c r="D11" s="8">
        <v>45070</v>
      </c>
      <c r="E11" s="27"/>
      <c r="F11" s="8" t="s">
        <v>424</v>
      </c>
      <c r="G11" s="27"/>
      <c r="H11" s="8" t="s">
        <v>425</v>
      </c>
      <c r="L11" s="41" t="s">
        <v>74</v>
      </c>
      <c r="M11" s="41" t="s">
        <v>150</v>
      </c>
      <c r="N11" s="41" t="s">
        <v>82</v>
      </c>
      <c r="O11" s="41" t="s">
        <v>426</v>
      </c>
      <c r="Q11" s="278" t="s">
        <v>488</v>
      </c>
      <c r="R11" s="275" t="s">
        <v>489</v>
      </c>
      <c r="S11" s="275"/>
      <c r="T11" s="275"/>
      <c r="U11" s="275"/>
      <c r="V11" s="275"/>
      <c r="W11" s="275"/>
    </row>
    <row r="12" spans="2:23" x14ac:dyDescent="0.25">
      <c r="L12" s="41" t="s">
        <v>147</v>
      </c>
      <c r="N12" s="41" t="s">
        <v>83</v>
      </c>
      <c r="O12" s="41" t="s">
        <v>427</v>
      </c>
      <c r="Q12" s="278" t="s">
        <v>500</v>
      </c>
      <c r="R12" s="275" t="s">
        <v>501</v>
      </c>
      <c r="S12" s="275"/>
      <c r="T12" s="275"/>
      <c r="U12" s="275"/>
      <c r="V12" s="275"/>
      <c r="W12" s="275"/>
    </row>
    <row r="13" spans="2:23" ht="15.75" thickBot="1" x14ac:dyDescent="0.3">
      <c r="L13" s="41" t="s">
        <v>148</v>
      </c>
      <c r="N13" s="41" t="s">
        <v>84</v>
      </c>
      <c r="O13" s="41" t="s">
        <v>428</v>
      </c>
      <c r="Q13" s="279" t="s">
        <v>493</v>
      </c>
      <c r="R13" s="275" t="s">
        <v>495</v>
      </c>
      <c r="S13" s="275"/>
      <c r="T13" s="275"/>
      <c r="U13" s="275"/>
      <c r="V13" s="275"/>
      <c r="W13" s="275"/>
    </row>
    <row r="14" spans="2:23" ht="25.5" x14ac:dyDescent="0.25">
      <c r="B14" s="206" t="s">
        <v>108</v>
      </c>
      <c r="D14" s="206" t="s">
        <v>109</v>
      </c>
      <c r="F14" s="206" t="s">
        <v>110</v>
      </c>
      <c r="H14" s="214" t="s">
        <v>111</v>
      </c>
      <c r="L14" s="41" t="s">
        <v>75</v>
      </c>
      <c r="O14" s="41" t="s">
        <v>429</v>
      </c>
    </row>
    <row r="15" spans="2:23" x14ac:dyDescent="0.25">
      <c r="B15" s="215" t="s">
        <v>430</v>
      </c>
      <c r="D15" s="8">
        <v>12041413</v>
      </c>
      <c r="F15" s="8">
        <v>15663237</v>
      </c>
      <c r="H15" s="8">
        <v>96271105</v>
      </c>
      <c r="O15" s="41" t="s">
        <v>431</v>
      </c>
    </row>
    <row r="16" spans="2:23" x14ac:dyDescent="0.25">
      <c r="O16" s="41" t="s">
        <v>432</v>
      </c>
    </row>
    <row r="17" spans="2:15" ht="15.75" thickBot="1" x14ac:dyDescent="0.3">
      <c r="O17" s="41" t="s">
        <v>433</v>
      </c>
    </row>
    <row r="18" spans="2:15" ht="25.5" x14ac:dyDescent="0.25">
      <c r="B18" s="204" t="s">
        <v>190</v>
      </c>
      <c r="D18" s="204" t="s">
        <v>191</v>
      </c>
      <c r="F18" s="204" t="s">
        <v>356</v>
      </c>
      <c r="H18" s="204" t="s">
        <v>357</v>
      </c>
      <c r="L18" s="216" t="s">
        <v>459</v>
      </c>
      <c r="M18" s="217"/>
      <c r="O18" s="41" t="s">
        <v>434</v>
      </c>
    </row>
    <row r="19" spans="2:15" x14ac:dyDescent="0.25">
      <c r="B19" s="213" t="str">
        <f>IF(B5=0,"NA","SEM "&amp;WEEKNUM(B5))</f>
        <v>SEM 20</v>
      </c>
      <c r="D19" s="213" t="str">
        <f>IF(B5=0,"",IF(MONTH(B5)=1,"ENE","")&amp;IF(MONTH(B5)=2,"FEB","")&amp;IF(MONTH(B5)=3,"MAR","")&amp;IF(MONTH(B5)=4,"ABR","")&amp;IF(MONTH(B5)=5,"MAY","")&amp;IF(MONTH(B5)=6,"JUN","")&amp;IF(MONTH(B5)=7,"JUL","")&amp;IF(MONTH(B5)=8,"AGO","")&amp;IF(MONTH(B5)=9,"SEP","")&amp;IF(MONTH(B5)=10,"OCT","")&amp;IF(MONTH(B5)=11,"NOV","")&amp;IF(MONTH(B5)=12,"DIC",""))</f>
        <v>MAY</v>
      </c>
      <c r="F19" s="165">
        <v>35000</v>
      </c>
      <c r="H19" s="213" t="str">
        <f>IF(F19=0,"ND",(IF(F19&gt;0,IF(F19&lt;=12000,"HASTA 12 MIL",""),""))&amp;IF(F19&gt;12000,IF(F19&lt;=18000,"ENTRE 12 Y 18 MIL",""),""))&amp;IF(F19&gt;18000,IF(F19&lt;=25000,"ENTRE 18 Y 25 MIL",""),"")&amp;IF(F19&gt;25000,IF(F19&lt;=35000,"ENTRE 25 Y 35 MIL",""),"")&amp;IF(F19&gt;35000,IF(F19&lt;=45000,"ENTRE 35 Y 45 MIL",""),"")&amp;IF(F19&gt;45000,"MAYOR A 45 MILES","")</f>
        <v>ENTRE 25 Y 35 MIL</v>
      </c>
      <c r="L19" s="218"/>
      <c r="M19" s="219"/>
      <c r="O19" s="41" t="s">
        <v>435</v>
      </c>
    </row>
    <row r="20" spans="2:15" x14ac:dyDescent="0.25">
      <c r="L20" s="218"/>
      <c r="M20" s="219"/>
      <c r="O20" s="41" t="s">
        <v>436</v>
      </c>
    </row>
    <row r="21" spans="2:15" x14ac:dyDescent="0.25">
      <c r="L21" s="218"/>
      <c r="M21" s="219"/>
      <c r="O21" s="41" t="s">
        <v>437</v>
      </c>
    </row>
    <row r="22" spans="2:15" ht="25.5" x14ac:dyDescent="0.25">
      <c r="B22" s="204" t="s">
        <v>50</v>
      </c>
      <c r="D22" s="204" t="s">
        <v>51</v>
      </c>
      <c r="F22" s="204" t="s">
        <v>45</v>
      </c>
      <c r="H22" s="204" t="s">
        <v>168</v>
      </c>
      <c r="L22" s="218"/>
      <c r="M22" s="219"/>
      <c r="O22" s="41" t="s">
        <v>438</v>
      </c>
    </row>
    <row r="23" spans="2:15" x14ac:dyDescent="0.25">
      <c r="B23" s="211" t="s">
        <v>405</v>
      </c>
      <c r="C23" s="220"/>
      <c r="D23" s="211" t="s">
        <v>407</v>
      </c>
      <c r="E23" s="220"/>
      <c r="F23" s="211" t="s">
        <v>406</v>
      </c>
      <c r="G23" s="220"/>
      <c r="H23" s="211" t="s">
        <v>417</v>
      </c>
      <c r="L23" s="218"/>
      <c r="M23" s="219"/>
      <c r="O23" s="41" t="s">
        <v>439</v>
      </c>
    </row>
    <row r="24" spans="2:15" x14ac:dyDescent="0.25">
      <c r="L24" s="218"/>
      <c r="M24" s="219"/>
      <c r="O24" s="41" t="s">
        <v>440</v>
      </c>
    </row>
    <row r="25" spans="2:15" ht="15.75" thickBot="1" x14ac:dyDescent="0.3">
      <c r="B25" s="178" t="s">
        <v>1</v>
      </c>
      <c r="C25" s="27"/>
      <c r="D25" s="178" t="s">
        <v>2</v>
      </c>
      <c r="E25" s="27"/>
      <c r="F25" s="178" t="s">
        <v>3</v>
      </c>
      <c r="H25" s="178" t="s">
        <v>26</v>
      </c>
      <c r="L25" s="221"/>
      <c r="M25" s="222"/>
      <c r="O25" s="41" t="s">
        <v>441</v>
      </c>
    </row>
    <row r="26" spans="2:15" x14ac:dyDescent="0.25">
      <c r="B26" s="209">
        <v>1</v>
      </c>
      <c r="C26" s="27"/>
      <c r="D26" s="209">
        <v>3</v>
      </c>
      <c r="E26" s="27"/>
      <c r="F26" s="209">
        <v>23</v>
      </c>
      <c r="H26" s="266">
        <v>978000</v>
      </c>
      <c r="O26" s="41" t="s">
        <v>442</v>
      </c>
    </row>
    <row r="27" spans="2:15" x14ac:dyDescent="0.25">
      <c r="O27" s="41" t="s">
        <v>443</v>
      </c>
    </row>
    <row r="28" spans="2:15" ht="25.5" x14ac:dyDescent="0.25">
      <c r="B28" s="178" t="s">
        <v>47</v>
      </c>
      <c r="D28" s="234" t="s">
        <v>112</v>
      </c>
      <c r="F28" s="234" t="s">
        <v>106</v>
      </c>
      <c r="H28" s="178" t="s">
        <v>460</v>
      </c>
      <c r="O28" s="41" t="s">
        <v>444</v>
      </c>
    </row>
    <row r="29" spans="2:15" x14ac:dyDescent="0.25">
      <c r="B29" s="209" t="s">
        <v>461</v>
      </c>
      <c r="D29" s="266">
        <v>5000</v>
      </c>
      <c r="F29" s="266">
        <f>(H26+H29)-(SUM(C31:C40)+D29)</f>
        <v>911900</v>
      </c>
      <c r="H29" s="266">
        <f>H26*0.05</f>
        <v>48900</v>
      </c>
      <c r="O29" s="41" t="s">
        <v>445</v>
      </c>
    </row>
    <row r="30" spans="2:15" x14ac:dyDescent="0.25">
      <c r="O30" s="41" t="s">
        <v>446</v>
      </c>
    </row>
    <row r="31" spans="2:15" ht="25.5" x14ac:dyDescent="0.25">
      <c r="B31" s="206" t="s">
        <v>86</v>
      </c>
      <c r="C31" s="266">
        <v>20000</v>
      </c>
      <c r="E31" s="206" t="s">
        <v>87</v>
      </c>
      <c r="F31" s="267">
        <v>41090</v>
      </c>
      <c r="O31" s="41" t="s">
        <v>447</v>
      </c>
    </row>
    <row r="32" spans="2:15" ht="25.5" x14ac:dyDescent="0.25">
      <c r="B32" s="206" t="s">
        <v>88</v>
      </c>
      <c r="C32" s="266">
        <v>20000</v>
      </c>
      <c r="E32" s="206" t="s">
        <v>89</v>
      </c>
      <c r="F32" s="267">
        <v>41120</v>
      </c>
    </row>
    <row r="33" spans="2:10" ht="25.5" x14ac:dyDescent="0.25">
      <c r="B33" s="206" t="s">
        <v>90</v>
      </c>
      <c r="C33" s="266">
        <v>20000</v>
      </c>
      <c r="E33" s="206" t="s">
        <v>91</v>
      </c>
      <c r="F33" s="267">
        <v>41151</v>
      </c>
    </row>
    <row r="34" spans="2:10" ht="25.5" x14ac:dyDescent="0.25">
      <c r="B34" s="206" t="s">
        <v>92</v>
      </c>
      <c r="C34" s="266">
        <v>50000</v>
      </c>
      <c r="E34" s="206" t="s">
        <v>93</v>
      </c>
      <c r="F34" s="267">
        <v>41182</v>
      </c>
      <c r="J34" s="274"/>
    </row>
    <row r="35" spans="2:10" ht="25.5" x14ac:dyDescent="0.25">
      <c r="B35" s="206" t="s">
        <v>94</v>
      </c>
      <c r="C35" s="266"/>
      <c r="E35" s="206" t="s">
        <v>95</v>
      </c>
      <c r="F35" s="268"/>
    </row>
    <row r="36" spans="2:10" ht="25.5" x14ac:dyDescent="0.25">
      <c r="B36" s="206" t="s">
        <v>96</v>
      </c>
      <c r="C36" s="266"/>
      <c r="E36" s="206" t="s">
        <v>97</v>
      </c>
      <c r="F36" s="268"/>
    </row>
    <row r="37" spans="2:10" ht="25.5" x14ac:dyDescent="0.25">
      <c r="B37" s="206" t="s">
        <v>98</v>
      </c>
      <c r="C37" s="266"/>
      <c r="E37" s="206" t="s">
        <v>99</v>
      </c>
      <c r="F37" s="268"/>
    </row>
    <row r="38" spans="2:10" ht="25.5" x14ac:dyDescent="0.25">
      <c r="B38" s="206" t="s">
        <v>100</v>
      </c>
      <c r="C38" s="266"/>
      <c r="E38" s="206" t="s">
        <v>101</v>
      </c>
      <c r="F38" s="268"/>
    </row>
    <row r="39" spans="2:10" ht="25.5" x14ac:dyDescent="0.25">
      <c r="B39" s="206" t="s">
        <v>102</v>
      </c>
      <c r="C39" s="266"/>
      <c r="E39" s="206" t="s">
        <v>103</v>
      </c>
      <c r="F39" s="268"/>
    </row>
    <row r="40" spans="2:10" ht="25.5" x14ac:dyDescent="0.25">
      <c r="B40" s="206" t="s">
        <v>104</v>
      </c>
      <c r="C40" s="266"/>
      <c r="E40" s="206" t="s">
        <v>105</v>
      </c>
      <c r="F40" s="268"/>
    </row>
  </sheetData>
  <mergeCells count="5">
    <mergeCell ref="D4:H4"/>
    <mergeCell ref="D5:H5"/>
    <mergeCell ref="D7:H7"/>
    <mergeCell ref="D8:H8"/>
    <mergeCell ref="L18:M25"/>
  </mergeCells>
  <hyperlinks>
    <hyperlink ref="B15" r:id="rId1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53"/>
  <sheetViews>
    <sheetView workbookViewId="0"/>
  </sheetViews>
  <sheetFormatPr baseColWidth="10" defaultRowHeight="15" x14ac:dyDescent="0.25"/>
  <cols>
    <col min="1" max="1" width="11.42578125" style="1"/>
    <col min="2" max="2" width="12.7109375" style="1" customWidth="1"/>
    <col min="3" max="7" width="11.42578125" style="1"/>
    <col min="8" max="8" width="12.5703125" style="1" bestFit="1" customWidth="1"/>
    <col min="9" max="9" width="12.5703125" style="1" customWidth="1"/>
    <col min="10" max="16" width="11.42578125" style="1"/>
    <col min="17" max="17" width="29.85546875" style="1" bestFit="1" customWidth="1"/>
    <col min="18" max="16384" width="11.42578125" style="1"/>
  </cols>
  <sheetData>
    <row r="3" spans="2:15" x14ac:dyDescent="0.25">
      <c r="B3" s="223" t="s">
        <v>44</v>
      </c>
      <c r="C3" s="223"/>
      <c r="D3" s="223"/>
      <c r="E3" s="223"/>
      <c r="F3" s="223"/>
      <c r="H3" s="182" t="s">
        <v>4</v>
      </c>
      <c r="I3" s="183"/>
      <c r="J3" s="183"/>
      <c r="M3" s="89"/>
      <c r="N3" s="1" t="s">
        <v>398</v>
      </c>
    </row>
    <row r="4" spans="2:15" x14ac:dyDescent="0.25">
      <c r="B4" s="224" t="str">
        <f>+[1]PROSPECCIÓN!D5</f>
        <v>OMAR RODRIGO CASILLAS DÍAZ</v>
      </c>
      <c r="C4" s="224"/>
      <c r="D4" s="224"/>
      <c r="E4" s="224"/>
      <c r="F4" s="224"/>
      <c r="H4" s="225" t="str">
        <f>[1]inventario!D10</f>
        <v>Tarragona</v>
      </c>
      <c r="I4" s="226"/>
      <c r="J4" s="226"/>
      <c r="M4" s="180"/>
      <c r="N4" s="1" t="s">
        <v>399</v>
      </c>
    </row>
    <row r="5" spans="2:15" x14ac:dyDescent="0.25">
      <c r="M5" s="185"/>
      <c r="N5" s="1" t="s">
        <v>400</v>
      </c>
    </row>
    <row r="6" spans="2:15" x14ac:dyDescent="0.25">
      <c r="B6" s="223" t="s">
        <v>168</v>
      </c>
      <c r="C6" s="223"/>
      <c r="D6" s="223"/>
      <c r="E6" s="223"/>
      <c r="F6" s="223"/>
      <c r="H6" s="188" t="s">
        <v>300</v>
      </c>
      <c r="J6" s="193" t="s">
        <v>43</v>
      </c>
      <c r="M6" s="227"/>
      <c r="N6" s="1" t="s">
        <v>448</v>
      </c>
    </row>
    <row r="7" spans="2:15" x14ac:dyDescent="0.25">
      <c r="B7" s="228" t="str">
        <f>+[1]PROSPECCIÓN!H23</f>
        <v>D4</v>
      </c>
      <c r="C7" s="224"/>
      <c r="D7" s="224"/>
      <c r="E7" s="224"/>
      <c r="F7" s="224"/>
      <c r="H7" s="229" t="str">
        <f>[1]inventario!H10</f>
        <v>3122-108</v>
      </c>
      <c r="J7" s="230" t="str">
        <f>[1]inventario!D16</f>
        <v>2DA-NOV</v>
      </c>
      <c r="K7" s="189"/>
      <c r="M7" s="209"/>
      <c r="N7" s="1" t="s">
        <v>449</v>
      </c>
    </row>
    <row r="9" spans="2:15" x14ac:dyDescent="0.25">
      <c r="B9" s="178" t="s">
        <v>1</v>
      </c>
      <c r="C9" s="27"/>
      <c r="D9" s="178" t="s">
        <v>2</v>
      </c>
      <c r="E9" s="27"/>
      <c r="F9" s="178" t="s">
        <v>3</v>
      </c>
      <c r="M9" s="231" t="s">
        <v>405</v>
      </c>
      <c r="N9" s="231" t="s">
        <v>407</v>
      </c>
      <c r="O9" s="231" t="s">
        <v>406</v>
      </c>
    </row>
    <row r="10" spans="2:15" x14ac:dyDescent="0.25">
      <c r="B10" s="232">
        <f>+[1]inventario!D4</f>
        <v>1</v>
      </c>
      <c r="C10" s="233"/>
      <c r="D10" s="232">
        <f>+[1]inventario!F4</f>
        <v>3</v>
      </c>
      <c r="E10" s="233"/>
      <c r="F10" s="232">
        <f>+[1]inventario!H4</f>
        <v>23</v>
      </c>
      <c r="M10" s="41" t="s">
        <v>249</v>
      </c>
      <c r="N10" s="41" t="s">
        <v>37</v>
      </c>
      <c r="O10" s="41" t="s">
        <v>450</v>
      </c>
    </row>
    <row r="11" spans="2:15" x14ac:dyDescent="0.25">
      <c r="M11" s="41" t="s">
        <v>250</v>
      </c>
      <c r="N11" s="41" t="s">
        <v>62</v>
      </c>
      <c r="O11" s="41" t="s">
        <v>451</v>
      </c>
    </row>
    <row r="12" spans="2:15" ht="25.5" x14ac:dyDescent="0.25">
      <c r="B12" s="184" t="s">
        <v>26</v>
      </c>
      <c r="D12" s="184" t="s">
        <v>47</v>
      </c>
      <c r="F12" s="234" t="s">
        <v>112</v>
      </c>
      <c r="H12" s="234" t="s">
        <v>106</v>
      </c>
      <c r="J12" s="234" t="s">
        <v>106</v>
      </c>
      <c r="M12" s="41" t="s">
        <v>251</v>
      </c>
      <c r="N12" s="41" t="s">
        <v>63</v>
      </c>
      <c r="O12" s="41" t="s">
        <v>249</v>
      </c>
    </row>
    <row r="13" spans="2:15" x14ac:dyDescent="0.25">
      <c r="B13" s="235">
        <f>[1]inventario!F13</f>
        <v>978000</v>
      </c>
      <c r="D13" s="236" t="str">
        <f>+[1]PROSPECCIÓN!B29</f>
        <v>30/07/12</v>
      </c>
      <c r="F13" s="237">
        <f>+[1]PROSPECCIÓN!D29</f>
        <v>5000</v>
      </c>
      <c r="H13" s="237">
        <f>+[1]PROSPECCIÓN!F29</f>
        <v>911900</v>
      </c>
      <c r="I13" s="149"/>
      <c r="J13" s="237">
        <f>+[1]PROSPECCIÓN!H29</f>
        <v>48900</v>
      </c>
      <c r="M13" s="41" t="s">
        <v>150</v>
      </c>
      <c r="N13" s="41" t="s">
        <v>389</v>
      </c>
      <c r="O13" s="41" t="s">
        <v>150</v>
      </c>
    </row>
    <row r="14" spans="2:15" x14ac:dyDescent="0.25">
      <c r="N14" s="41" t="s">
        <v>64</v>
      </c>
    </row>
    <row r="15" spans="2:15" x14ac:dyDescent="0.25">
      <c r="N15" s="41" t="s">
        <v>36</v>
      </c>
    </row>
    <row r="16" spans="2:15" ht="25.5" x14ac:dyDescent="0.25">
      <c r="B16" s="206" t="s">
        <v>86</v>
      </c>
      <c r="C16" s="238">
        <v>20000</v>
      </c>
      <c r="E16" s="206" t="s">
        <v>87</v>
      </c>
      <c r="F16" s="239">
        <v>41090</v>
      </c>
      <c r="H16" s="206" t="s">
        <v>239</v>
      </c>
      <c r="I16" s="231" t="s">
        <v>405</v>
      </c>
      <c r="N16" s="41" t="s">
        <v>65</v>
      </c>
    </row>
    <row r="17" spans="2:22" ht="26.25" thickBot="1" x14ac:dyDescent="0.3">
      <c r="B17" s="206" t="s">
        <v>88</v>
      </c>
      <c r="C17" s="238">
        <v>20000</v>
      </c>
      <c r="E17" s="206" t="s">
        <v>89</v>
      </c>
      <c r="F17" s="239">
        <v>41120</v>
      </c>
      <c r="H17" s="206" t="s">
        <v>240</v>
      </c>
      <c r="I17" s="231" t="s">
        <v>405</v>
      </c>
      <c r="N17" s="41" t="s">
        <v>66</v>
      </c>
    </row>
    <row r="18" spans="2:22" ht="25.5" x14ac:dyDescent="0.25">
      <c r="B18" s="206" t="s">
        <v>90</v>
      </c>
      <c r="C18" s="238">
        <v>20000</v>
      </c>
      <c r="E18" s="206" t="s">
        <v>91</v>
      </c>
      <c r="F18" s="239">
        <v>41151</v>
      </c>
      <c r="H18" s="206" t="s">
        <v>241</v>
      </c>
      <c r="I18" s="231" t="s">
        <v>405</v>
      </c>
      <c r="N18" s="41" t="s">
        <v>40</v>
      </c>
      <c r="Q18" s="280" t="s">
        <v>481</v>
      </c>
      <c r="R18" s="275"/>
      <c r="S18" s="275"/>
      <c r="T18" s="275"/>
      <c r="U18" s="275"/>
      <c r="V18" s="275"/>
    </row>
    <row r="19" spans="2:22" ht="25.5" x14ac:dyDescent="0.25">
      <c r="B19" s="206" t="s">
        <v>92</v>
      </c>
      <c r="C19" s="238">
        <v>50000</v>
      </c>
      <c r="E19" s="206" t="s">
        <v>93</v>
      </c>
      <c r="F19" s="239">
        <v>41182</v>
      </c>
      <c r="H19" s="206" t="s">
        <v>242</v>
      </c>
      <c r="I19" s="231" t="s">
        <v>405</v>
      </c>
      <c r="N19" s="41" t="s">
        <v>67</v>
      </c>
      <c r="Q19" s="278" t="s">
        <v>482</v>
      </c>
      <c r="R19" s="275" t="s">
        <v>483</v>
      </c>
      <c r="S19" s="275"/>
      <c r="T19" s="275"/>
      <c r="U19" s="275"/>
      <c r="V19" s="275"/>
    </row>
    <row r="20" spans="2:22" ht="25.5" x14ac:dyDescent="0.25">
      <c r="B20" s="206" t="s">
        <v>94</v>
      </c>
      <c r="C20" s="238"/>
      <c r="E20" s="206" t="s">
        <v>95</v>
      </c>
      <c r="F20" s="240"/>
      <c r="H20" s="206" t="s">
        <v>243</v>
      </c>
      <c r="I20" s="231" t="s">
        <v>405</v>
      </c>
      <c r="N20" s="41" t="s">
        <v>68</v>
      </c>
      <c r="Q20" s="278" t="s">
        <v>496</v>
      </c>
      <c r="R20" s="275" t="s">
        <v>497</v>
      </c>
      <c r="S20" s="275"/>
      <c r="T20" s="275"/>
      <c r="U20" s="275"/>
      <c r="V20" s="275"/>
    </row>
    <row r="21" spans="2:22" ht="25.5" x14ac:dyDescent="0.25">
      <c r="B21" s="206" t="s">
        <v>96</v>
      </c>
      <c r="C21" s="241"/>
      <c r="E21" s="206" t="s">
        <v>97</v>
      </c>
      <c r="F21" s="242"/>
      <c r="H21" s="206" t="s">
        <v>244</v>
      </c>
      <c r="I21" s="231" t="s">
        <v>405</v>
      </c>
      <c r="N21" s="41" t="s">
        <v>150</v>
      </c>
      <c r="Q21" s="278" t="s">
        <v>498</v>
      </c>
      <c r="R21" s="275" t="s">
        <v>499</v>
      </c>
      <c r="S21" s="275"/>
      <c r="T21" s="275"/>
      <c r="U21" s="275"/>
      <c r="V21" s="275"/>
    </row>
    <row r="22" spans="2:22" ht="25.5" x14ac:dyDescent="0.25">
      <c r="B22" s="206" t="s">
        <v>98</v>
      </c>
      <c r="C22" s="241"/>
      <c r="E22" s="206" t="s">
        <v>99</v>
      </c>
      <c r="F22" s="242"/>
      <c r="H22" s="206" t="s">
        <v>245</v>
      </c>
      <c r="I22" s="231" t="s">
        <v>405</v>
      </c>
      <c r="Q22" s="278" t="s">
        <v>502</v>
      </c>
      <c r="R22" s="275" t="s">
        <v>503</v>
      </c>
      <c r="S22" s="275"/>
      <c r="T22" s="275"/>
      <c r="U22" s="275"/>
      <c r="V22" s="275"/>
    </row>
    <row r="23" spans="2:22" ht="26.25" thickBot="1" x14ac:dyDescent="0.3">
      <c r="B23" s="206" t="s">
        <v>100</v>
      </c>
      <c r="C23" s="241"/>
      <c r="E23" s="206" t="s">
        <v>101</v>
      </c>
      <c r="F23" s="242"/>
      <c r="H23" s="206" t="s">
        <v>246</v>
      </c>
      <c r="I23" s="231" t="s">
        <v>405</v>
      </c>
      <c r="Q23" s="279" t="s">
        <v>493</v>
      </c>
      <c r="R23" s="275" t="s">
        <v>495</v>
      </c>
      <c r="S23" s="275"/>
      <c r="T23" s="275"/>
      <c r="U23" s="275"/>
      <c r="V23" s="275"/>
    </row>
    <row r="24" spans="2:22" ht="25.5" x14ac:dyDescent="0.25">
      <c r="B24" s="206" t="s">
        <v>102</v>
      </c>
      <c r="C24" s="241"/>
      <c r="E24" s="206" t="s">
        <v>103</v>
      </c>
      <c r="F24" s="242"/>
      <c r="H24" s="206" t="s">
        <v>247</v>
      </c>
      <c r="I24" s="231" t="s">
        <v>405</v>
      </c>
    </row>
    <row r="25" spans="2:22" ht="25.5" x14ac:dyDescent="0.25">
      <c r="B25" s="206" t="s">
        <v>104</v>
      </c>
      <c r="C25" s="241"/>
      <c r="E25" s="206" t="s">
        <v>105</v>
      </c>
      <c r="F25" s="242"/>
      <c r="H25" s="206" t="s">
        <v>248</v>
      </c>
      <c r="I25" s="231" t="s">
        <v>405</v>
      </c>
    </row>
    <row r="28" spans="2:22" ht="38.25" x14ac:dyDescent="0.25">
      <c r="B28" s="206" t="s">
        <v>35</v>
      </c>
      <c r="D28" s="206" t="s">
        <v>48</v>
      </c>
      <c r="F28" s="206" t="s">
        <v>49</v>
      </c>
      <c r="H28" s="206" t="s">
        <v>313</v>
      </c>
      <c r="J28" s="206" t="s">
        <v>115</v>
      </c>
    </row>
    <row r="29" spans="2:22" x14ac:dyDescent="0.25">
      <c r="B29" s="243" t="s">
        <v>407</v>
      </c>
      <c r="D29" s="25">
        <v>41059</v>
      </c>
      <c r="F29" s="244">
        <v>41075</v>
      </c>
      <c r="H29" s="243" t="s">
        <v>406</v>
      </c>
      <c r="J29" s="25">
        <v>41197</v>
      </c>
    </row>
    <row r="31" spans="2:22" ht="25.5" x14ac:dyDescent="0.25">
      <c r="B31" s="206" t="s">
        <v>52</v>
      </c>
      <c r="D31" s="206" t="s">
        <v>53</v>
      </c>
      <c r="F31" s="206" t="s">
        <v>107</v>
      </c>
      <c r="H31" s="214" t="s">
        <v>54</v>
      </c>
    </row>
    <row r="32" spans="2:22" x14ac:dyDescent="0.25">
      <c r="B32" s="245"/>
      <c r="D32" s="8"/>
      <c r="F32" s="8">
        <v>58</v>
      </c>
      <c r="H32" s="245"/>
    </row>
    <row r="35" spans="2:10" ht="25.5" x14ac:dyDescent="0.25">
      <c r="B35" s="206" t="s">
        <v>192</v>
      </c>
      <c r="C35" s="206" t="s">
        <v>193</v>
      </c>
      <c r="D35" s="206" t="s">
        <v>194</v>
      </c>
      <c r="E35" s="206" t="s">
        <v>195</v>
      </c>
      <c r="F35" s="206" t="s">
        <v>196</v>
      </c>
      <c r="G35" s="206" t="s">
        <v>197</v>
      </c>
      <c r="H35" s="206" t="s">
        <v>184</v>
      </c>
      <c r="I35" s="206" t="s">
        <v>113</v>
      </c>
      <c r="J35" s="206" t="s">
        <v>114</v>
      </c>
    </row>
    <row r="36" spans="2:10" x14ac:dyDescent="0.25">
      <c r="B36" s="213" t="str">
        <f>IF(D13=0,"NA","SEM "&amp;WEEKNUM(D13))</f>
        <v>SEM 31</v>
      </c>
      <c r="C36" s="213" t="str">
        <f>IF(D13=0,"",IF(MONTH(D13)=1,"ENE","")&amp;IF(MONTH(D13)=2,"FEB","")&amp;IF(MONTH(D13)=3,"MAR","")&amp;IF(MONTH(D13)=4,"ABR","")&amp;IF(MONTH(D13)=5,"MAY","")&amp;IF(MONTH(D13)=6,"JUN","")&amp;IF(MONTH(D13)=7,"JUL","")&amp;IF(MONTH(D13)=8,"AGO","")&amp;IF(MONTH(D13)=9,"SEP","")&amp;IF(MONTH(D13)=10,"OCT","")&amp;IF(MONTH(D13)=11,"NOV","")&amp;IF(MONTH(D13)=12,"DIC",""))</f>
        <v>JUL</v>
      </c>
      <c r="D36" s="213" t="str">
        <f>IF(B32=0,"NA","SEM "&amp;WEEKNUM(B32))</f>
        <v>NA</v>
      </c>
      <c r="E36" s="213" t="str">
        <f>IF(B32=0,"",IF(MONTH(B32)=1,"ENE","")&amp;IF(MONTH(B32)=2,"FEB","")&amp;IF(MONTH(B32)=3,"MAR","")&amp;IF(MONTH(B32)=4,"ABR","")&amp;IF(MONTH(B32)=5,"MAY","")&amp;IF(MONTH(B32)=6,"JUN","")&amp;IF(MONTH(B32)=7,"JUL","")&amp;IF(MONTH(B32)=8,"AGO","")&amp;IF(MONTH(B32)=9,"SEP","")&amp;IF(MONTH(B32)=10,"OCT","")&amp;IF(MONTH(B32)=11,"NOV","")&amp;IF(MONTH(B32)=12,"DIC",""))</f>
        <v/>
      </c>
      <c r="F36" s="213" t="str">
        <f>IF(H32=0,"NA","SEM "&amp;WEEKNUM(H32))</f>
        <v>NA</v>
      </c>
      <c r="G36" s="213" t="str">
        <f>IF(H32=0,"",IF(MONTH(H32)=1,"ENE","")&amp;IF(MONTH(H32)=2,"FEB","")&amp;IF(MONTH(H32)=3,"MAR","")&amp;IF(MONTH(H32)=4,"ABR","")&amp;IF(MONTH(H32)=5,"MAY","")&amp;IF(MONTH(H32)=6,"JUN","")&amp;IF(MONTH(H32)=7,"JUL","")&amp;IF(MONTH(H32)=8,"AGO","")&amp;IF(MONTH(H32)=9,"SEP","")&amp;IF(MONTH(H32)=10,"OCT","")&amp;IF(MONTH(H32)=11,"NOV","")&amp;IF(MONTH(H32)=12,"DIC",""))</f>
        <v/>
      </c>
      <c r="H36" s="213" t="str">
        <f>IF(OR(B30="FIRMADO",B30="COBRADO"),IF(B30=0,"",IF(DAY(B30)&lt;16,"1RA","2DA")&amp;"-"&amp;(IF(MONTH(B30)=1,"ENE","")&amp;IF(MONTH(B30)=2,"FEB","")&amp;IF(MONTH(B30)=3,"MAR","")&amp;IF(MONTH(B30)=4,"ABR","")&amp;IF(MONTH(B30)=5,"MAY","")&amp;IF(MONTH(B30)=6,"JUN","")&amp;IF(MONTH(B30)=7,"JUL","")&amp;IF(MONTH(B30)=8,"AGO","")&amp;IF(MONTH(B30)=9,"SEP","")&amp;IF(MONTH(B30)=10,"OCT","")&amp;IF(MONTH(B30)=11,"NOV","")&amp;IF(MONTH(B30)=12,"DIC",""))),IF(B30="SIN CLIENTE","NA",IF(B30=0,"",IF(DAY(B30)&lt;16,"1RA","2DA")&amp;"-"&amp;(IF(MONTH(B30)=1,"ENE","")&amp;IF(MONTH(B30)=2,"FEB","")&amp;IF(MONTH(B30)=3,"MAR","")&amp;IF(MONTH(B30)=4,"ABR","")&amp;IF(MONTH(B30)=5,"MAY","")&amp;IF(MONTH(B30)=6,"JUN","")&amp;IF(MONTH(B30)=7,"JUL","")&amp;IF(MONTH(B30)=8,"AGO","")&amp;IF(MONTH(B30)=9,"SEP","")&amp;IF(MONTH(B30)=10,"OCT","")&amp;IF(MONTH(B30)=11,"NOV","")&amp;IF(MONTH(B30)=12,"DIC","")))))</f>
        <v/>
      </c>
      <c r="I36" s="213" t="str">
        <f ca="1">IF(D13=0,"NA",IF(TODAY()-D13&lt;=3,"HASTA 3 DIAS","")&amp;IF(TODAY()-D13&gt;3,IF(TODAY()-D13&lt;=7,"1RA SEM",""),"")&amp;IF(TODAY()-D13&gt;7,IF(TODAY()-D13&lt;=14,"2DA SEM",""),"")&amp;IF(TODAY()-D13&gt;14,IF(TODAY()-D13&lt;=21,"3RA SEM",""),"")&amp;IF(TODAY()-D13&gt;21,IF(TODAY()-D13&lt;=28,"4TA SEM",""),"")&amp;IF(TODAY()-D13&gt;28,IF(TODAY()-D13&lt;=35,"5TA SEM",""),"")&amp;IF(TODAY()-D13&gt;35,IF(TODAY()-D13&lt;=42,"6TA SEM",""),"")&amp;IF(TODAY()-D13&gt;42,IF(TODAY()-D13&lt;=49,"7MA SEM",""),"")&amp;IF(TODAY()-D13&gt;49,IF(TODAY()-D13&lt;=56,"8VA SEM",""),"")&amp;IF(TODAY()-D13&gt;56,"MAYOR A 2 MESES",""))</f>
        <v>HASTA 3 DIAS</v>
      </c>
      <c r="J36" s="213" t="str">
        <f ca="1">IF(B32=0,"NA",IF(TODAY()-B32&lt;=3,"HASTA 3 DIAS","")&amp;IF(TODAY()-B32&gt;3,IF(TODAY()-B32&lt;=7,"1RA SEM",""),"")&amp;IF(TODAY()-B32&gt;7,IF(TODAY()-B32&lt;=14,"2DA SEM",""),"")&amp;IF(TODAY()-B32&gt;14,IF(TODAY()-B32&lt;=21,"3RA SEM",""),"")&amp;IF(TODAY()-B32&gt;21,IF(TODAY()-B32&lt;=28,"4TA SEM",""),"")&amp;IF(TODAY()-B32&gt;28,IF(TODAY()-B32&lt;=35,"5TA SEM",""),"")&amp;IF(TODAY()-B32&gt;35,IF(TODAY()-B32&lt;=42,"6TA SEM",""),"")&amp;IF(TODAY()-B32&gt;42,IF(TODAY()-B32&lt;=49,"7MA SEM",""),"")&amp;IF(TODAY()-B32&gt;49,IF(TODAY()-B32&lt;=56,"8VA SEM",""),"")&amp;IF(TODAY()-B32&gt;56,"MAYOR A 2 MESES",""))</f>
        <v>NA</v>
      </c>
    </row>
    <row r="39" spans="2:10" x14ac:dyDescent="0.25">
      <c r="B39" s="269" t="s">
        <v>475</v>
      </c>
      <c r="C39" s="269"/>
      <c r="D39" s="269"/>
      <c r="E39" s="269"/>
      <c r="F39" s="269"/>
      <c r="G39" s="269"/>
      <c r="H39" s="269"/>
      <c r="I39" s="269"/>
      <c r="J39" s="269"/>
    </row>
    <row r="40" spans="2:10" x14ac:dyDescent="0.25">
      <c r="B40" s="248"/>
      <c r="C40" s="248"/>
      <c r="D40" s="248"/>
      <c r="E40" s="248"/>
      <c r="F40" s="248"/>
      <c r="G40" s="248"/>
      <c r="H40" s="248"/>
      <c r="I40" s="248"/>
      <c r="J40" s="248"/>
    </row>
    <row r="41" spans="2:10" x14ac:dyDescent="0.25">
      <c r="B41" s="248"/>
      <c r="C41" s="248"/>
      <c r="D41" s="248"/>
      <c r="E41" s="248"/>
      <c r="F41" s="248"/>
      <c r="G41" s="248"/>
      <c r="H41" s="248"/>
      <c r="I41" s="248"/>
      <c r="J41" s="248"/>
    </row>
    <row r="42" spans="2:10" x14ac:dyDescent="0.25">
      <c r="B42" s="248"/>
      <c r="C42" s="248"/>
      <c r="D42" s="248"/>
      <c r="E42" s="248"/>
      <c r="F42" s="248"/>
      <c r="G42" s="248"/>
      <c r="H42" s="248"/>
      <c r="I42" s="248"/>
      <c r="J42" s="248"/>
    </row>
    <row r="43" spans="2:10" x14ac:dyDescent="0.25">
      <c r="B43" s="248"/>
      <c r="C43" s="248"/>
      <c r="D43" s="248"/>
      <c r="E43" s="248"/>
      <c r="F43" s="248"/>
      <c r="G43" s="248"/>
      <c r="H43" s="248"/>
      <c r="I43" s="248"/>
      <c r="J43" s="248"/>
    </row>
    <row r="44" spans="2:10" x14ac:dyDescent="0.25">
      <c r="B44" s="248"/>
      <c r="C44" s="248"/>
      <c r="D44" s="248"/>
      <c r="E44" s="248"/>
      <c r="F44" s="248"/>
      <c r="G44" s="248"/>
      <c r="H44" s="248"/>
      <c r="I44" s="248"/>
      <c r="J44" s="248"/>
    </row>
    <row r="45" spans="2:10" x14ac:dyDescent="0.25">
      <c r="B45" s="248"/>
      <c r="C45" s="248"/>
      <c r="D45" s="248"/>
      <c r="E45" s="248"/>
      <c r="F45" s="248"/>
      <c r="G45" s="248"/>
      <c r="H45" s="248"/>
      <c r="I45" s="248"/>
      <c r="J45" s="248"/>
    </row>
    <row r="46" spans="2:10" x14ac:dyDescent="0.25">
      <c r="B46" s="248"/>
      <c r="C46" s="248"/>
      <c r="D46" s="248"/>
      <c r="E46" s="248"/>
      <c r="F46" s="248"/>
      <c r="G46" s="248"/>
      <c r="H46" s="248"/>
      <c r="I46" s="248"/>
      <c r="J46" s="248"/>
    </row>
    <row r="47" spans="2:10" x14ac:dyDescent="0.25">
      <c r="B47" s="248"/>
      <c r="C47" s="248"/>
      <c r="D47" s="248"/>
      <c r="E47" s="248"/>
      <c r="F47" s="248"/>
      <c r="G47" s="248"/>
      <c r="H47" s="248"/>
      <c r="I47" s="248"/>
      <c r="J47" s="248"/>
    </row>
    <row r="48" spans="2:10" x14ac:dyDescent="0.25">
      <c r="B48" s="248"/>
      <c r="C48" s="248"/>
      <c r="D48" s="248"/>
      <c r="E48" s="248"/>
      <c r="F48" s="248"/>
      <c r="G48" s="248"/>
      <c r="H48" s="248"/>
      <c r="I48" s="248"/>
      <c r="J48" s="248"/>
    </row>
    <row r="49" spans="2:10" x14ac:dyDescent="0.25">
      <c r="B49" s="248"/>
      <c r="C49" s="248"/>
      <c r="D49" s="248"/>
      <c r="E49" s="248"/>
      <c r="F49" s="248"/>
      <c r="G49" s="248"/>
      <c r="H49" s="248"/>
      <c r="I49" s="248"/>
      <c r="J49" s="248"/>
    </row>
    <row r="50" spans="2:10" x14ac:dyDescent="0.25">
      <c r="B50" s="248"/>
      <c r="C50" s="248"/>
      <c r="D50" s="248"/>
      <c r="E50" s="248"/>
      <c r="F50" s="248"/>
      <c r="G50" s="248"/>
      <c r="H50" s="248"/>
      <c r="I50" s="248"/>
      <c r="J50" s="248"/>
    </row>
    <row r="51" spans="2:10" x14ac:dyDescent="0.25">
      <c r="B51" s="248"/>
      <c r="C51" s="248"/>
      <c r="D51" s="248"/>
      <c r="E51" s="248"/>
      <c r="F51" s="248"/>
      <c r="G51" s="248"/>
      <c r="H51" s="248"/>
      <c r="I51" s="248"/>
      <c r="J51" s="248"/>
    </row>
    <row r="52" spans="2:10" x14ac:dyDescent="0.25">
      <c r="B52" s="248"/>
      <c r="C52" s="248"/>
      <c r="D52" s="248"/>
      <c r="E52" s="248"/>
      <c r="F52" s="248"/>
      <c r="G52" s="248"/>
      <c r="H52" s="248"/>
      <c r="I52" s="248"/>
      <c r="J52" s="248"/>
    </row>
    <row r="53" spans="2:10" x14ac:dyDescent="0.25">
      <c r="B53" s="248"/>
      <c r="C53" s="248"/>
      <c r="D53" s="248"/>
      <c r="E53" s="248"/>
      <c r="F53" s="248"/>
      <c r="G53" s="248"/>
      <c r="H53" s="248"/>
      <c r="I53" s="248"/>
      <c r="J53" s="248"/>
    </row>
  </sheetData>
  <mergeCells count="8">
    <mergeCell ref="B39:J39"/>
    <mergeCell ref="B40:J53"/>
    <mergeCell ref="B3:F3"/>
    <mergeCell ref="H3:J3"/>
    <mergeCell ref="B4:F4"/>
    <mergeCell ref="H4:J4"/>
    <mergeCell ref="B6:F6"/>
    <mergeCell ref="B7:F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37"/>
  <sheetViews>
    <sheetView tabSelected="1" workbookViewId="0"/>
  </sheetViews>
  <sheetFormatPr baseColWidth="10" defaultRowHeight="15" x14ac:dyDescent="0.25"/>
  <cols>
    <col min="1" max="1" width="11.42578125" style="1"/>
    <col min="2" max="2" width="14.140625" style="1" customWidth="1"/>
    <col min="3" max="15" width="11.42578125" style="1"/>
    <col min="16" max="16" width="39.7109375" style="1" bestFit="1" customWidth="1"/>
    <col min="17" max="16384" width="11.42578125" style="1"/>
  </cols>
  <sheetData>
    <row r="3" spans="2:22" ht="15" customHeight="1" x14ac:dyDescent="0.25">
      <c r="B3" s="223" t="s">
        <v>44</v>
      </c>
      <c r="C3" s="223"/>
      <c r="D3" s="223"/>
      <c r="E3" s="223"/>
      <c r="F3" s="223"/>
      <c r="H3" s="182" t="s">
        <v>4</v>
      </c>
      <c r="I3" s="183"/>
      <c r="J3" s="183"/>
      <c r="M3" s="89"/>
      <c r="N3" s="1" t="s">
        <v>398</v>
      </c>
    </row>
    <row r="4" spans="2:22" x14ac:dyDescent="0.25">
      <c r="B4" s="224" t="str">
        <f>+[1]PROSPECCIÓN!D5</f>
        <v>OMAR RODRIGO CASILLAS DÍAZ</v>
      </c>
      <c r="C4" s="224"/>
      <c r="D4" s="224"/>
      <c r="E4" s="224"/>
      <c r="F4" s="224"/>
      <c r="H4" s="225" t="str">
        <f>[1]inventario!D10</f>
        <v>Tarragona</v>
      </c>
      <c r="I4" s="226"/>
      <c r="J4" s="226"/>
      <c r="M4" s="180"/>
      <c r="N4" s="1" t="s">
        <v>399</v>
      </c>
    </row>
    <row r="5" spans="2:22" x14ac:dyDescent="0.25">
      <c r="M5" s="185"/>
      <c r="N5" s="1" t="s">
        <v>400</v>
      </c>
    </row>
    <row r="6" spans="2:22" ht="15" customHeight="1" x14ac:dyDescent="0.25">
      <c r="B6" s="223" t="s">
        <v>168</v>
      </c>
      <c r="C6" s="223"/>
      <c r="D6" s="223"/>
      <c r="E6" s="223"/>
      <c r="F6" s="223"/>
      <c r="H6" s="188" t="s">
        <v>300</v>
      </c>
      <c r="J6" s="193" t="s">
        <v>43</v>
      </c>
      <c r="M6" s="227"/>
      <c r="N6" s="1" t="s">
        <v>448</v>
      </c>
    </row>
    <row r="7" spans="2:22" x14ac:dyDescent="0.25">
      <c r="B7" s="228" t="str">
        <f>+[1]PROSPECCIÓN!H23</f>
        <v>D4</v>
      </c>
      <c r="C7" s="224"/>
      <c r="D7" s="224"/>
      <c r="E7" s="224"/>
      <c r="F7" s="224"/>
      <c r="H7" s="229" t="str">
        <f>[1]inventario!H10</f>
        <v>3122-108</v>
      </c>
      <c r="J7" s="230" t="str">
        <f>[1]inventario!D16</f>
        <v>2DA-NOV</v>
      </c>
      <c r="M7" s="209"/>
      <c r="N7" s="1" t="s">
        <v>449</v>
      </c>
    </row>
    <row r="9" spans="2:22" x14ac:dyDescent="0.25">
      <c r="B9" s="178" t="s">
        <v>1</v>
      </c>
      <c r="C9" s="27"/>
      <c r="D9" s="178" t="s">
        <v>2</v>
      </c>
      <c r="E9" s="27"/>
      <c r="F9" s="178" t="s">
        <v>3</v>
      </c>
    </row>
    <row r="10" spans="2:22" x14ac:dyDescent="0.25">
      <c r="B10" s="232">
        <f>+[1]inventario!D4</f>
        <v>1</v>
      </c>
      <c r="C10" s="233"/>
      <c r="D10" s="232">
        <f>+[1]inventario!F4</f>
        <v>3</v>
      </c>
      <c r="E10" s="233"/>
      <c r="F10" s="232">
        <f>+[1]inventario!H4</f>
        <v>23</v>
      </c>
      <c r="M10" s="247" t="s">
        <v>405</v>
      </c>
    </row>
    <row r="11" spans="2:22" x14ac:dyDescent="0.25">
      <c r="M11" s="41" t="s">
        <v>371</v>
      </c>
    </row>
    <row r="12" spans="2:22" ht="26.25" thickBot="1" x14ac:dyDescent="0.3">
      <c r="B12" s="184" t="s">
        <v>26</v>
      </c>
      <c r="D12" s="184" t="s">
        <v>47</v>
      </c>
      <c r="F12" s="234" t="s">
        <v>112</v>
      </c>
      <c r="H12" s="234" t="s">
        <v>106</v>
      </c>
      <c r="J12" s="234" t="s">
        <v>106</v>
      </c>
      <c r="M12" s="41" t="s">
        <v>372</v>
      </c>
    </row>
    <row r="13" spans="2:22" x14ac:dyDescent="0.25">
      <c r="B13" s="235">
        <f>[1]inventario!F13</f>
        <v>978000</v>
      </c>
      <c r="D13" s="236" t="str">
        <f>+[1]PROSPECCIÓN!B29</f>
        <v>30/07/12</v>
      </c>
      <c r="F13" s="237">
        <f>+[1]PROSPECCIÓN!D29</f>
        <v>5000</v>
      </c>
      <c r="H13" s="237">
        <f>+[1]PROSPECCIÓN!F29</f>
        <v>911900</v>
      </c>
      <c r="I13" s="149"/>
      <c r="J13" s="237">
        <f>+[1]PROSPECCIÓN!H29</f>
        <v>48900</v>
      </c>
      <c r="M13" s="41" t="s">
        <v>378</v>
      </c>
      <c r="P13" s="276"/>
      <c r="Q13" s="275"/>
      <c r="R13" s="275"/>
      <c r="S13" s="275"/>
      <c r="T13" s="275"/>
      <c r="U13" s="275"/>
      <c r="V13" s="275"/>
    </row>
    <row r="14" spans="2:22" x14ac:dyDescent="0.25">
      <c r="M14" s="41" t="s">
        <v>373</v>
      </c>
      <c r="P14" s="277" t="s">
        <v>481</v>
      </c>
      <c r="Q14" s="275"/>
      <c r="R14" s="275"/>
      <c r="S14" s="275"/>
      <c r="T14" s="275"/>
      <c r="U14" s="275"/>
      <c r="V14" s="275"/>
    </row>
    <row r="15" spans="2:22" x14ac:dyDescent="0.25">
      <c r="P15" s="278" t="s">
        <v>482</v>
      </c>
      <c r="Q15" s="275" t="s">
        <v>483</v>
      </c>
      <c r="R15" s="275"/>
      <c r="S15" s="275"/>
      <c r="T15" s="275"/>
      <c r="U15" s="275"/>
      <c r="V15" s="275"/>
    </row>
    <row r="16" spans="2:22" ht="25.5" x14ac:dyDescent="0.25">
      <c r="B16" s="206" t="s">
        <v>86</v>
      </c>
      <c r="C16" s="238">
        <v>20000</v>
      </c>
      <c r="E16" s="206" t="s">
        <v>87</v>
      </c>
      <c r="F16" s="239">
        <v>41090</v>
      </c>
      <c r="H16" s="206" t="s">
        <v>239</v>
      </c>
      <c r="I16" s="246" t="s">
        <v>405</v>
      </c>
      <c r="P16" s="278" t="s">
        <v>504</v>
      </c>
      <c r="Q16" s="275" t="s">
        <v>506</v>
      </c>
      <c r="R16" s="275"/>
      <c r="S16" s="275"/>
      <c r="T16" s="275"/>
      <c r="U16" s="275"/>
      <c r="V16" s="275"/>
    </row>
    <row r="17" spans="2:22" ht="25.5" x14ac:dyDescent="0.25">
      <c r="B17" s="206" t="s">
        <v>88</v>
      </c>
      <c r="C17" s="238">
        <v>20000</v>
      </c>
      <c r="E17" s="206" t="s">
        <v>89</v>
      </c>
      <c r="F17" s="239">
        <v>41120</v>
      </c>
      <c r="H17" s="206" t="s">
        <v>240</v>
      </c>
      <c r="I17" s="246" t="s">
        <v>405</v>
      </c>
      <c r="P17" s="278" t="s">
        <v>505</v>
      </c>
      <c r="Q17" s="275" t="s">
        <v>507</v>
      </c>
      <c r="R17" s="275"/>
      <c r="S17" s="275"/>
      <c r="T17" s="275"/>
      <c r="U17" s="275"/>
      <c r="V17" s="275"/>
    </row>
    <row r="18" spans="2:22" ht="25.5" x14ac:dyDescent="0.25">
      <c r="B18" s="206" t="s">
        <v>90</v>
      </c>
      <c r="C18" s="238">
        <v>20000</v>
      </c>
      <c r="E18" s="206" t="s">
        <v>91</v>
      </c>
      <c r="F18" s="239">
        <v>41151</v>
      </c>
      <c r="H18" s="206" t="s">
        <v>241</v>
      </c>
      <c r="I18" s="246" t="s">
        <v>405</v>
      </c>
      <c r="P18" s="278"/>
      <c r="Q18" s="275"/>
      <c r="R18" s="275"/>
      <c r="S18" s="275"/>
      <c r="T18" s="275"/>
      <c r="U18" s="275"/>
      <c r="V18" s="275"/>
    </row>
    <row r="19" spans="2:22" ht="25.5" x14ac:dyDescent="0.25">
      <c r="B19" s="206" t="s">
        <v>92</v>
      </c>
      <c r="C19" s="238">
        <v>50000</v>
      </c>
      <c r="E19" s="206" t="s">
        <v>93</v>
      </c>
      <c r="F19" s="239">
        <v>41182</v>
      </c>
      <c r="H19" s="206" t="s">
        <v>242</v>
      </c>
      <c r="I19" s="246" t="s">
        <v>405</v>
      </c>
      <c r="P19" s="278" t="s">
        <v>502</v>
      </c>
      <c r="Q19" s="275" t="s">
        <v>508</v>
      </c>
      <c r="R19" s="275"/>
      <c r="S19" s="275"/>
      <c r="T19" s="275"/>
      <c r="U19" s="275"/>
      <c r="V19" s="275"/>
    </row>
    <row r="20" spans="2:22" ht="25.5" x14ac:dyDescent="0.25">
      <c r="B20" s="206" t="s">
        <v>94</v>
      </c>
      <c r="C20" s="238"/>
      <c r="E20" s="206" t="s">
        <v>95</v>
      </c>
      <c r="F20" s="240"/>
      <c r="H20" s="206" t="s">
        <v>243</v>
      </c>
      <c r="I20" s="246" t="s">
        <v>405</v>
      </c>
      <c r="P20" s="278" t="s">
        <v>493</v>
      </c>
      <c r="Q20" s="275" t="s">
        <v>495</v>
      </c>
      <c r="R20" s="275"/>
      <c r="S20" s="275"/>
      <c r="T20" s="275"/>
      <c r="U20" s="275"/>
      <c r="V20" s="275"/>
    </row>
    <row r="21" spans="2:22" ht="26.25" thickBot="1" x14ac:dyDescent="0.3">
      <c r="B21" s="206" t="s">
        <v>96</v>
      </c>
      <c r="C21" s="241"/>
      <c r="E21" s="206" t="s">
        <v>97</v>
      </c>
      <c r="F21" s="242"/>
      <c r="H21" s="206" t="s">
        <v>244</v>
      </c>
      <c r="I21" s="246" t="s">
        <v>405</v>
      </c>
      <c r="P21" s="279"/>
      <c r="Q21" s="275"/>
      <c r="R21" s="275"/>
      <c r="S21" s="275"/>
      <c r="T21" s="275"/>
      <c r="U21" s="275"/>
      <c r="V21" s="275"/>
    </row>
    <row r="22" spans="2:22" ht="25.5" x14ac:dyDescent="0.25">
      <c r="B22" s="206" t="s">
        <v>98</v>
      </c>
      <c r="C22" s="241"/>
      <c r="E22" s="206" t="s">
        <v>99</v>
      </c>
      <c r="F22" s="242"/>
      <c r="H22" s="206" t="s">
        <v>245</v>
      </c>
      <c r="I22" s="246" t="s">
        <v>405</v>
      </c>
    </row>
    <row r="23" spans="2:22" ht="25.5" x14ac:dyDescent="0.25">
      <c r="B23" s="206" t="s">
        <v>100</v>
      </c>
      <c r="C23" s="241"/>
      <c r="E23" s="206" t="s">
        <v>101</v>
      </c>
      <c r="F23" s="242"/>
      <c r="H23" s="206" t="s">
        <v>246</v>
      </c>
      <c r="I23" s="246" t="s">
        <v>405</v>
      </c>
    </row>
    <row r="24" spans="2:22" ht="25.5" x14ac:dyDescent="0.25">
      <c r="B24" s="206" t="s">
        <v>102</v>
      </c>
      <c r="C24" s="241"/>
      <c r="E24" s="206" t="s">
        <v>103</v>
      </c>
      <c r="F24" s="242"/>
      <c r="H24" s="206" t="s">
        <v>247</v>
      </c>
      <c r="I24" s="246" t="s">
        <v>405</v>
      </c>
    </row>
    <row r="25" spans="2:22" ht="25.5" x14ac:dyDescent="0.25">
      <c r="B25" s="206" t="s">
        <v>104</v>
      </c>
      <c r="C25" s="241"/>
      <c r="E25" s="206" t="s">
        <v>105</v>
      </c>
      <c r="F25" s="242"/>
      <c r="H25" s="206" t="s">
        <v>248</v>
      </c>
      <c r="I25" s="246" t="s">
        <v>405</v>
      </c>
    </row>
    <row r="27" spans="2:22" ht="25.5" x14ac:dyDescent="0.25">
      <c r="B27" s="204" t="s">
        <v>377</v>
      </c>
      <c r="E27" s="206" t="str">
        <f>+'[1]SEGUIMIENTO CLIENTE'!B28</f>
        <v>ESTATUS CLIENTE</v>
      </c>
    </row>
    <row r="28" spans="2:22" x14ac:dyDescent="0.25">
      <c r="B28" s="164">
        <v>0.01</v>
      </c>
      <c r="E28" s="230" t="str">
        <f>+'[1]SEGUIMIENTO CLIENTE'!N17</f>
        <v>POR FIRMAR</v>
      </c>
    </row>
    <row r="30" spans="2:22" ht="25.5" x14ac:dyDescent="0.25">
      <c r="B30" s="204" t="s">
        <v>374</v>
      </c>
      <c r="C30" s="204" t="s">
        <v>367</v>
      </c>
      <c r="D30" s="204" t="s">
        <v>364</v>
      </c>
      <c r="E30" s="204" t="s">
        <v>370</v>
      </c>
      <c r="H30" s="204" t="s">
        <v>379</v>
      </c>
      <c r="I30" s="204" t="s">
        <v>382</v>
      </c>
    </row>
    <row r="31" spans="2:22" x14ac:dyDescent="0.25">
      <c r="B31" s="247" t="s">
        <v>405</v>
      </c>
      <c r="C31" s="162">
        <v>41075</v>
      </c>
      <c r="D31" s="165">
        <f>(B28*SUM(F13,H13,C16:C25))*0.2</f>
        <v>2053.8000000000002</v>
      </c>
      <c r="E31" s="59"/>
      <c r="H31" s="59" t="str">
        <f>IF(C31=0,"ND",IF(DAY(C31)&lt;=13,"1ERA-",IF(DAY(C31)&gt;13,"2DA-",""))&amp;(IF(MONTH(C31)=1,"ENE","")&amp;IF(MONTH(C31)=2,"FEB","")&amp;IF(MONTH(C31)=3,"MAR","")&amp;IF(MONTH(C31)=4,"ABR","")&amp;IF(MONTH(C31)=5,"MAY","")&amp;IF(MONTH(C31)=6,"JUN","")&amp;IF(MONTH(C31)=7,"JUL","")&amp;IF(MONTH(C31)=8,"AGO","")&amp;IF(MONTH(C31)=9,"SEP","")&amp;IF(MONTH(C31)=10,"OCT","")&amp;IF(MONTH(C31)=11,"NOV","")&amp;IF(MONTH(C31)=12,"DIC",""))&amp;"-"&amp;YEAR(C31))</f>
        <v>2DA-JUN-2012</v>
      </c>
      <c r="I31" s="59" t="str">
        <f>IF(E31=0,"ND",IF(DAY(E31)&lt;=13,"1ERA-",IF(DAY(E31)&gt;13,"2DA-",""))&amp;(IF(MONTH(E31)=1,"ENE","")&amp;IF(MONTH(E31)=2,"FEB","")&amp;IF(MONTH(E31)=3,"MAR","")&amp;IF(MONTH(E31)=4,"ABR","")&amp;IF(MONTH(E31)=5,"MAY","")&amp;IF(MONTH(E31)=6,"JUN","")&amp;IF(MONTH(E31)=7,"JUL","")&amp;IF(MONTH(E31)=8,"AGO","")&amp;IF(MONTH(E31)=9,"SEP","")&amp;IF(MONTH(E31)=10,"OCT","")&amp;IF(MONTH(E31)=11,"NOV","")&amp;IF(MONTH(E31)=12,"DIC",""))&amp;"-"&amp;YEAR(E31))</f>
        <v>ND</v>
      </c>
    </row>
    <row r="33" spans="2:9" ht="25.5" x14ac:dyDescent="0.25">
      <c r="B33" s="204" t="s">
        <v>375</v>
      </c>
      <c r="C33" s="204" t="s">
        <v>368</v>
      </c>
      <c r="D33" s="204" t="s">
        <v>365</v>
      </c>
      <c r="E33" s="204" t="s">
        <v>370</v>
      </c>
      <c r="H33" s="204" t="s">
        <v>380</v>
      </c>
      <c r="I33" s="204" t="s">
        <v>382</v>
      </c>
    </row>
    <row r="34" spans="2:9" x14ac:dyDescent="0.25">
      <c r="B34" s="247" t="s">
        <v>405</v>
      </c>
      <c r="C34" s="59"/>
      <c r="D34" s="165">
        <f>(B28*SUM(F13,H13,C16:C25))*0.2</f>
        <v>2053.8000000000002</v>
      </c>
      <c r="E34" s="59"/>
      <c r="H34" s="59" t="str">
        <f>IF(C34=0,"ND",IF(DAY(C34)&lt;=13,"1ERA-",IF(DAY(C34)&gt;13,"2DA-",""))&amp;(IF(MONTH(C34)=1,"ENE","")&amp;IF(MONTH(C34)=2,"FEB","")&amp;IF(MONTH(C34)=3,"MAR","")&amp;IF(MONTH(C34)=4,"ABR","")&amp;IF(MONTH(C34)=5,"MAY","")&amp;IF(MONTH(C34)=6,"JUN","")&amp;IF(MONTH(C34)=7,"JUL","")&amp;IF(MONTH(C34)=8,"AGO","")&amp;IF(MONTH(C34)=9,"SEP","")&amp;IF(MONTH(C34)=10,"OCT","")&amp;IF(MONTH(C34)=11,"NOV","")&amp;IF(MONTH(C34)=12,"DIC",""))&amp;"-"&amp;YEAR(C34))</f>
        <v>ND</v>
      </c>
      <c r="I34" s="59" t="str">
        <f>IF(E34=0,"ND",IF(DAY(E34)&lt;=13,"1ERA-",IF(DAY(E34)&gt;13,"2DA-",""))&amp;(IF(MONTH(E34)=1,"ENE","")&amp;IF(MONTH(E34)=2,"FEB","")&amp;IF(MONTH(E34)=3,"MAR","")&amp;IF(MONTH(E34)=4,"ABR","")&amp;IF(MONTH(E34)=5,"MAY","")&amp;IF(MONTH(E34)=6,"JUN","")&amp;IF(MONTH(E34)=7,"JUL","")&amp;IF(MONTH(E34)=8,"AGO","")&amp;IF(MONTH(E34)=9,"SEP","")&amp;IF(MONTH(E34)=10,"OCT","")&amp;IF(MONTH(E34)=11,"NOV","")&amp;IF(MONTH(E34)=12,"DIC",""))&amp;"-"&amp;YEAR(E34))</f>
        <v>ND</v>
      </c>
    </row>
    <row r="36" spans="2:9" ht="25.5" x14ac:dyDescent="0.25">
      <c r="B36" s="204" t="s">
        <v>376</v>
      </c>
      <c r="C36" s="204" t="s">
        <v>369</v>
      </c>
      <c r="D36" s="204" t="s">
        <v>366</v>
      </c>
      <c r="E36" s="204" t="s">
        <v>370</v>
      </c>
      <c r="H36" s="204" t="s">
        <v>381</v>
      </c>
      <c r="I36" s="204" t="s">
        <v>382</v>
      </c>
    </row>
    <row r="37" spans="2:9" x14ac:dyDescent="0.25">
      <c r="B37" s="247" t="s">
        <v>405</v>
      </c>
      <c r="C37" s="59"/>
      <c r="D37" s="165">
        <f>(B28*SUM(F13,H13,C16:C25))*0.6</f>
        <v>6161.4</v>
      </c>
      <c r="E37" s="59"/>
      <c r="H37" s="59" t="str">
        <f>IF(C37=0,"ND",IF(DAY(C37)&lt;=13,"1ERA-",IF(DAY(C37)&gt;13,"2DA-",""))&amp;(IF(MONTH(C37)=1,"ENE","")&amp;IF(MONTH(C37)=2,"FEB","")&amp;IF(MONTH(C37)=3,"MAR","")&amp;IF(MONTH(C37)=4,"ABR","")&amp;IF(MONTH(C37)=5,"MAY","")&amp;IF(MONTH(C37)=6,"JUN","")&amp;IF(MONTH(C37)=7,"JUL","")&amp;IF(MONTH(C37)=8,"AGO","")&amp;IF(MONTH(C37)=9,"SEP","")&amp;IF(MONTH(C37)=10,"OCT","")&amp;IF(MONTH(C37)=11,"NOV","")&amp;IF(MONTH(C37)=12,"DIC",""))&amp;"-"&amp;YEAR(C37))</f>
        <v>ND</v>
      </c>
      <c r="I37" s="59" t="str">
        <f>IF(E37=0,"ND",IF(DAY(E37)&lt;=13,"1ERA-",IF(DAY(E37)&gt;13,"2DA-",""))&amp;(IF(MONTH(E37)=1,"ENE","")&amp;IF(MONTH(E37)=2,"FEB","")&amp;IF(MONTH(E37)=3,"MAR","")&amp;IF(MONTH(E37)=4,"ABR","")&amp;IF(MONTH(E37)=5,"MAY","")&amp;IF(MONTH(E37)=6,"JUN","")&amp;IF(MONTH(E37)=7,"JUL","")&amp;IF(MONTH(E37)=8,"AGO","")&amp;IF(MONTH(E37)=9,"SEP","")&amp;IF(MONTH(E37)=10,"OCT","")&amp;IF(MONTH(E37)=11,"NOV","")&amp;IF(MONTH(E37)=12,"DIC",""))&amp;"-"&amp;YEAR(E37))</f>
        <v>ND</v>
      </c>
    </row>
  </sheetData>
  <mergeCells count="6">
    <mergeCell ref="B3:F3"/>
    <mergeCell ref="H3:J3"/>
    <mergeCell ref="B4:F4"/>
    <mergeCell ref="H4:J4"/>
    <mergeCell ref="B6:F6"/>
    <mergeCell ref="B7:F7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Views>
    <sheetView workbookViewId="0">
      <selection activeCell="I17" sqref="I17"/>
    </sheetView>
  </sheetViews>
  <sheetFormatPr baseColWidth="10" defaultRowHeight="15" x14ac:dyDescent="0.25"/>
  <cols>
    <col min="1" max="1" width="8.28515625" style="16" bestFit="1" customWidth="1"/>
    <col min="2" max="2" width="8.28515625" style="16" customWidth="1"/>
    <col min="3" max="3" width="5.42578125" style="16" customWidth="1"/>
    <col min="4" max="4" width="4.7109375" style="16" customWidth="1"/>
    <col min="5" max="5" width="4.140625" style="17" customWidth="1"/>
    <col min="6" max="6" width="7.28515625" style="16" customWidth="1"/>
    <col min="7" max="7" width="7.85546875" style="16" customWidth="1"/>
    <col min="8" max="8" width="12" style="18" customWidth="1"/>
    <col min="9" max="9" width="21.28515625" style="18" bestFit="1" customWidth="1"/>
    <col min="10" max="12" width="12" style="18" customWidth="1"/>
    <col min="13" max="16384" width="11.42578125" style="1"/>
  </cols>
  <sheetData>
    <row r="1" spans="1:12" ht="25.5" x14ac:dyDescent="0.25">
      <c r="A1" s="263" t="s">
        <v>0</v>
      </c>
      <c r="B1" s="263" t="s">
        <v>24</v>
      </c>
      <c r="C1" s="263" t="s">
        <v>1</v>
      </c>
      <c r="D1" s="263" t="s">
        <v>2</v>
      </c>
      <c r="E1" s="263" t="s">
        <v>3</v>
      </c>
      <c r="F1" s="263" t="s">
        <v>5</v>
      </c>
      <c r="G1" s="270" t="s">
        <v>355</v>
      </c>
      <c r="H1" s="193" t="s">
        <v>25</v>
      </c>
      <c r="I1" s="214" t="s">
        <v>44</v>
      </c>
      <c r="J1" s="206" t="s">
        <v>45</v>
      </c>
      <c r="K1" s="234" t="s">
        <v>35</v>
      </c>
      <c r="L1" s="204" t="s">
        <v>168</v>
      </c>
    </row>
    <row r="2" spans="1:12" x14ac:dyDescent="0.25">
      <c r="A2" s="2">
        <v>1</v>
      </c>
      <c r="B2" s="2" t="s">
        <v>509</v>
      </c>
      <c r="C2" s="2">
        <v>2</v>
      </c>
      <c r="D2" s="3">
        <v>1</v>
      </c>
      <c r="E2" s="3">
        <v>1</v>
      </c>
      <c r="F2" s="6" t="s">
        <v>306</v>
      </c>
      <c r="G2" s="5">
        <v>90.179000000000002</v>
      </c>
      <c r="H2" s="271" t="s">
        <v>178</v>
      </c>
      <c r="I2" s="55" t="s">
        <v>462</v>
      </c>
      <c r="J2" s="59" t="s">
        <v>82</v>
      </c>
      <c r="K2" s="8" t="s">
        <v>390</v>
      </c>
      <c r="L2" s="59" t="s">
        <v>173</v>
      </c>
    </row>
    <row r="3" spans="1:12" x14ac:dyDescent="0.25">
      <c r="A3" s="2">
        <v>2</v>
      </c>
      <c r="B3" s="2" t="s">
        <v>510</v>
      </c>
      <c r="C3" s="2">
        <v>2</v>
      </c>
      <c r="D3" s="3">
        <v>1</v>
      </c>
      <c r="E3" s="2">
        <v>2</v>
      </c>
      <c r="F3" s="6" t="s">
        <v>306</v>
      </c>
      <c r="G3" s="9">
        <v>88.006</v>
      </c>
      <c r="H3" s="271" t="s">
        <v>178</v>
      </c>
      <c r="I3" s="55" t="s">
        <v>463</v>
      </c>
      <c r="J3" s="59" t="s">
        <v>82</v>
      </c>
      <c r="K3" s="8" t="s">
        <v>390</v>
      </c>
      <c r="L3" s="59" t="s">
        <v>171</v>
      </c>
    </row>
    <row r="4" spans="1:12" x14ac:dyDescent="0.25">
      <c r="A4" s="2">
        <v>3</v>
      </c>
      <c r="B4" s="2" t="s">
        <v>511</v>
      </c>
      <c r="C4" s="2">
        <v>2</v>
      </c>
      <c r="D4" s="3">
        <v>1</v>
      </c>
      <c r="E4" s="2">
        <v>3</v>
      </c>
      <c r="F4" s="10" t="s">
        <v>8</v>
      </c>
      <c r="G4" s="9">
        <v>89.86</v>
      </c>
      <c r="H4" s="271" t="s">
        <v>178</v>
      </c>
      <c r="I4" s="55" t="s">
        <v>464</v>
      </c>
      <c r="J4" s="59" t="s">
        <v>82</v>
      </c>
      <c r="K4" s="8" t="s">
        <v>390</v>
      </c>
      <c r="L4" s="59" t="s">
        <v>172</v>
      </c>
    </row>
    <row r="5" spans="1:12" x14ac:dyDescent="0.25">
      <c r="A5" s="2">
        <v>4</v>
      </c>
      <c r="B5" s="2" t="s">
        <v>512</v>
      </c>
      <c r="C5" s="2">
        <v>2</v>
      </c>
      <c r="D5" s="3">
        <v>1</v>
      </c>
      <c r="E5" s="2">
        <v>4</v>
      </c>
      <c r="F5" s="6" t="s">
        <v>306</v>
      </c>
      <c r="G5" s="9">
        <v>91.715000000000003</v>
      </c>
      <c r="H5" s="271" t="s">
        <v>178</v>
      </c>
      <c r="I5" s="55" t="s">
        <v>124</v>
      </c>
      <c r="J5" s="59" t="s">
        <v>81</v>
      </c>
      <c r="K5" s="8" t="s">
        <v>36</v>
      </c>
      <c r="L5" s="59" t="s">
        <v>174</v>
      </c>
    </row>
    <row r="6" spans="1:12" x14ac:dyDescent="0.25">
      <c r="A6" s="2">
        <v>5</v>
      </c>
      <c r="B6" s="2" t="s">
        <v>513</v>
      </c>
      <c r="C6" s="2">
        <v>2</v>
      </c>
      <c r="D6" s="3">
        <v>1</v>
      </c>
      <c r="E6" s="2">
        <v>5</v>
      </c>
      <c r="F6" s="6" t="s">
        <v>306</v>
      </c>
      <c r="G6" s="9">
        <v>93.569000000000003</v>
      </c>
      <c r="H6" s="271" t="s">
        <v>178</v>
      </c>
      <c r="I6" s="55" t="s">
        <v>125</v>
      </c>
      <c r="J6" s="59" t="s">
        <v>80</v>
      </c>
      <c r="K6" s="8" t="s">
        <v>67</v>
      </c>
      <c r="L6" s="59" t="s">
        <v>172</v>
      </c>
    </row>
    <row r="7" spans="1:12" x14ac:dyDescent="0.25">
      <c r="A7" s="2">
        <v>6</v>
      </c>
      <c r="B7" s="2" t="s">
        <v>514</v>
      </c>
      <c r="C7" s="2">
        <v>2</v>
      </c>
      <c r="D7" s="3">
        <v>1</v>
      </c>
      <c r="E7" s="2">
        <v>6</v>
      </c>
      <c r="F7" s="10" t="s">
        <v>8</v>
      </c>
      <c r="G7" s="9">
        <v>104.95099999999999</v>
      </c>
      <c r="H7" s="271" t="s">
        <v>178</v>
      </c>
      <c r="I7" s="55" t="s">
        <v>465</v>
      </c>
      <c r="J7" s="59" t="s">
        <v>82</v>
      </c>
      <c r="K7" s="8" t="s">
        <v>390</v>
      </c>
      <c r="L7" s="59" t="s">
        <v>173</v>
      </c>
    </row>
    <row r="8" spans="1:12" x14ac:dyDescent="0.25">
      <c r="A8" s="2">
        <v>7</v>
      </c>
      <c r="B8" s="2" t="s">
        <v>515</v>
      </c>
      <c r="C8" s="2">
        <v>2</v>
      </c>
      <c r="D8" s="2">
        <v>2</v>
      </c>
      <c r="E8" s="2">
        <v>1</v>
      </c>
      <c r="F8" s="10" t="s">
        <v>8</v>
      </c>
      <c r="G8" s="9">
        <v>83.653999999999996</v>
      </c>
      <c r="H8" s="271" t="s">
        <v>178</v>
      </c>
      <c r="I8" s="55" t="s">
        <v>466</v>
      </c>
      <c r="J8" s="59" t="s">
        <v>82</v>
      </c>
      <c r="K8" s="8" t="s">
        <v>62</v>
      </c>
      <c r="L8" s="59" t="s">
        <v>174</v>
      </c>
    </row>
    <row r="9" spans="1:12" x14ac:dyDescent="0.25">
      <c r="A9" s="2">
        <v>8</v>
      </c>
      <c r="B9" s="2" t="s">
        <v>516</v>
      </c>
      <c r="C9" s="2">
        <v>2</v>
      </c>
      <c r="D9" s="2">
        <v>2</v>
      </c>
      <c r="E9" s="2">
        <v>2</v>
      </c>
      <c r="F9" s="6" t="s">
        <v>306</v>
      </c>
      <c r="G9" s="9">
        <v>80</v>
      </c>
      <c r="H9" s="271" t="s">
        <v>178</v>
      </c>
      <c r="I9" s="55" t="s">
        <v>467</v>
      </c>
      <c r="J9" s="59" t="s">
        <v>82</v>
      </c>
      <c r="K9" s="8" t="s">
        <v>62</v>
      </c>
      <c r="L9" s="59" t="s">
        <v>171</v>
      </c>
    </row>
    <row r="10" spans="1:12" x14ac:dyDescent="0.25">
      <c r="A10" s="2">
        <v>9</v>
      </c>
      <c r="B10" s="2" t="s">
        <v>517</v>
      </c>
      <c r="C10" s="2">
        <v>2</v>
      </c>
      <c r="D10" s="2">
        <v>2</v>
      </c>
      <c r="E10" s="2">
        <v>3</v>
      </c>
      <c r="F10" s="6" t="s">
        <v>306</v>
      </c>
      <c r="G10" s="9">
        <v>80</v>
      </c>
      <c r="H10" s="271" t="s">
        <v>178</v>
      </c>
      <c r="I10" s="55" t="s">
        <v>468</v>
      </c>
      <c r="J10" s="59" t="s">
        <v>82</v>
      </c>
      <c r="K10" s="8" t="s">
        <v>62</v>
      </c>
      <c r="L10" s="59" t="s">
        <v>171</v>
      </c>
    </row>
    <row r="11" spans="1:12" x14ac:dyDescent="0.25">
      <c r="A11" s="2">
        <v>10</v>
      </c>
      <c r="B11" s="2" t="s">
        <v>518</v>
      </c>
      <c r="C11" s="2">
        <v>2</v>
      </c>
      <c r="D11" s="2">
        <v>2</v>
      </c>
      <c r="E11" s="2">
        <v>4</v>
      </c>
      <c r="F11" s="12" t="s">
        <v>8</v>
      </c>
      <c r="G11" s="9">
        <v>80</v>
      </c>
      <c r="H11" s="271" t="s">
        <v>178</v>
      </c>
      <c r="I11" s="55" t="s">
        <v>469</v>
      </c>
      <c r="J11" s="59" t="s">
        <v>82</v>
      </c>
      <c r="K11" s="8" t="s">
        <v>389</v>
      </c>
      <c r="L11" s="59" t="s">
        <v>174</v>
      </c>
    </row>
    <row r="12" spans="1:12" x14ac:dyDescent="0.25">
      <c r="A12" s="2">
        <v>11</v>
      </c>
      <c r="B12" s="2" t="s">
        <v>519</v>
      </c>
      <c r="C12" s="2">
        <v>2</v>
      </c>
      <c r="D12" s="2">
        <v>2</v>
      </c>
      <c r="E12" s="2">
        <v>5</v>
      </c>
      <c r="F12" s="6" t="s">
        <v>306</v>
      </c>
      <c r="G12" s="9">
        <v>80</v>
      </c>
      <c r="H12" s="271" t="s">
        <v>178</v>
      </c>
      <c r="I12" s="55" t="s">
        <v>470</v>
      </c>
      <c r="J12" s="59" t="s">
        <v>82</v>
      </c>
      <c r="K12" s="8" t="s">
        <v>389</v>
      </c>
      <c r="L12" s="59" t="s">
        <v>172</v>
      </c>
    </row>
    <row r="13" spans="1:12" x14ac:dyDescent="0.25">
      <c r="A13" s="2">
        <v>12</v>
      </c>
      <c r="B13" s="2" t="s">
        <v>520</v>
      </c>
      <c r="C13" s="2">
        <v>2</v>
      </c>
      <c r="D13" s="2">
        <v>2</v>
      </c>
      <c r="E13" s="13">
        <v>6</v>
      </c>
      <c r="F13" s="6" t="s">
        <v>306</v>
      </c>
      <c r="G13" s="9">
        <v>80</v>
      </c>
      <c r="H13" s="271" t="s">
        <v>178</v>
      </c>
      <c r="I13" s="55" t="s">
        <v>471</v>
      </c>
      <c r="J13" s="59" t="s">
        <v>82</v>
      </c>
      <c r="K13" s="8" t="s">
        <v>389</v>
      </c>
      <c r="L13" s="59" t="s">
        <v>174</v>
      </c>
    </row>
    <row r="14" spans="1:12" x14ac:dyDescent="0.25">
      <c r="A14" s="2">
        <v>13</v>
      </c>
      <c r="B14" s="2" t="s">
        <v>521</v>
      </c>
      <c r="C14" s="2">
        <v>2</v>
      </c>
      <c r="D14" s="2">
        <v>2</v>
      </c>
      <c r="E14" s="13">
        <v>7</v>
      </c>
      <c r="F14" s="12" t="s">
        <v>8</v>
      </c>
      <c r="G14" s="15">
        <v>106.81</v>
      </c>
      <c r="H14" s="271" t="s">
        <v>178</v>
      </c>
      <c r="I14" s="55" t="s">
        <v>472</v>
      </c>
      <c r="J14" s="59" t="s">
        <v>82</v>
      </c>
      <c r="K14" s="8" t="s">
        <v>389</v>
      </c>
      <c r="L14" s="59" t="s">
        <v>173</v>
      </c>
    </row>
    <row r="15" spans="1:12" x14ac:dyDescent="0.25">
      <c r="A15" s="2">
        <v>14</v>
      </c>
      <c r="B15" s="2" t="s">
        <v>522</v>
      </c>
      <c r="C15" s="2">
        <v>2</v>
      </c>
      <c r="D15" s="2">
        <v>2</v>
      </c>
      <c r="E15" s="2">
        <v>8</v>
      </c>
      <c r="F15" s="6" t="s">
        <v>306</v>
      </c>
      <c r="G15" s="9">
        <v>80</v>
      </c>
      <c r="H15" s="271" t="s">
        <v>178</v>
      </c>
      <c r="I15" s="55" t="s">
        <v>473</v>
      </c>
      <c r="J15" s="59" t="s">
        <v>82</v>
      </c>
      <c r="K15" s="8" t="s">
        <v>390</v>
      </c>
      <c r="L15" s="59" t="s">
        <v>171</v>
      </c>
    </row>
    <row r="16" spans="1:12" x14ac:dyDescent="0.25">
      <c r="A16" s="2">
        <v>15</v>
      </c>
      <c r="B16" s="2" t="s">
        <v>523</v>
      </c>
      <c r="C16" s="2">
        <v>2</v>
      </c>
      <c r="D16" s="2">
        <v>2</v>
      </c>
      <c r="E16" s="13">
        <v>9</v>
      </c>
      <c r="F16" s="6" t="s">
        <v>306</v>
      </c>
      <c r="G16" s="9">
        <v>80</v>
      </c>
      <c r="H16" s="271" t="s">
        <v>178</v>
      </c>
      <c r="I16" s="55"/>
      <c r="J16" s="59"/>
      <c r="K16" s="8" t="s">
        <v>37</v>
      </c>
      <c r="L16" s="59"/>
    </row>
    <row r="17" spans="1:12" x14ac:dyDescent="0.25">
      <c r="A17" s="2">
        <v>16</v>
      </c>
      <c r="B17" s="2" t="s">
        <v>524</v>
      </c>
      <c r="C17" s="2">
        <v>2</v>
      </c>
      <c r="D17" s="2">
        <v>2</v>
      </c>
      <c r="E17" s="2">
        <v>10</v>
      </c>
      <c r="F17" s="10" t="s">
        <v>8</v>
      </c>
      <c r="G17" s="9">
        <v>80</v>
      </c>
      <c r="H17" s="271" t="s">
        <v>178</v>
      </c>
      <c r="I17" s="55"/>
      <c r="J17" s="59"/>
      <c r="K17" s="8" t="s">
        <v>37</v>
      </c>
      <c r="L17" s="59"/>
    </row>
    <row r="18" spans="1:12" x14ac:dyDescent="0.25">
      <c r="A18" s="2">
        <v>17</v>
      </c>
      <c r="B18" s="2" t="s">
        <v>525</v>
      </c>
      <c r="C18" s="2">
        <v>2</v>
      </c>
      <c r="D18" s="2">
        <v>2</v>
      </c>
      <c r="E18" s="2">
        <v>11</v>
      </c>
      <c r="F18" s="6" t="s">
        <v>306</v>
      </c>
      <c r="G18" s="9">
        <v>80</v>
      </c>
      <c r="H18" s="271" t="s">
        <v>178</v>
      </c>
      <c r="I18" s="55"/>
      <c r="J18" s="59"/>
      <c r="K18" s="8" t="s">
        <v>37</v>
      </c>
      <c r="L18" s="59"/>
    </row>
    <row r="19" spans="1:12" x14ac:dyDescent="0.25">
      <c r="A19" s="2">
        <v>18</v>
      </c>
      <c r="B19" s="2" t="s">
        <v>526</v>
      </c>
      <c r="C19" s="2">
        <v>2</v>
      </c>
      <c r="D19" s="2">
        <v>2</v>
      </c>
      <c r="E19" s="2">
        <v>12</v>
      </c>
      <c r="F19" s="6" t="s">
        <v>306</v>
      </c>
      <c r="G19" s="9">
        <v>80</v>
      </c>
      <c r="H19" s="271" t="s">
        <v>178</v>
      </c>
      <c r="I19" s="55"/>
      <c r="J19" s="59"/>
      <c r="K19" s="8" t="s">
        <v>37</v>
      </c>
      <c r="L19" s="59"/>
    </row>
    <row r="20" spans="1:12" x14ac:dyDescent="0.25">
      <c r="A20" s="2">
        <v>19</v>
      </c>
      <c r="B20" s="2" t="s">
        <v>527</v>
      </c>
      <c r="C20" s="2">
        <v>2</v>
      </c>
      <c r="D20" s="2">
        <v>2</v>
      </c>
      <c r="E20" s="13">
        <v>13</v>
      </c>
      <c r="F20" s="12" t="s">
        <v>8</v>
      </c>
      <c r="G20" s="15">
        <v>83.468999999999994</v>
      </c>
      <c r="H20" s="271" t="s">
        <v>178</v>
      </c>
      <c r="I20" s="55"/>
      <c r="J20" s="59"/>
      <c r="K20" s="8" t="s">
        <v>37</v>
      </c>
      <c r="L20" s="59"/>
    </row>
    <row r="21" spans="1:12" x14ac:dyDescent="0.25">
      <c r="A21" s="2">
        <v>20</v>
      </c>
      <c r="B21" s="2" t="s">
        <v>528</v>
      </c>
      <c r="C21" s="2">
        <v>2</v>
      </c>
      <c r="D21" s="2">
        <v>3</v>
      </c>
      <c r="E21" s="2">
        <v>1</v>
      </c>
      <c r="F21" s="10" t="s">
        <v>8</v>
      </c>
      <c r="G21" s="9">
        <v>83.346000000000004</v>
      </c>
      <c r="H21" s="271" t="s">
        <v>178</v>
      </c>
      <c r="I21" s="55"/>
      <c r="J21" s="59"/>
      <c r="K21" s="8" t="s">
        <v>37</v>
      </c>
      <c r="L21" s="59"/>
    </row>
    <row r="22" spans="1:12" x14ac:dyDescent="0.25">
      <c r="A22" s="2">
        <v>21</v>
      </c>
      <c r="B22" s="2" t="s">
        <v>529</v>
      </c>
      <c r="C22" s="2">
        <v>2</v>
      </c>
      <c r="D22" s="2">
        <v>3</v>
      </c>
      <c r="E22" s="2">
        <v>2</v>
      </c>
      <c r="F22" s="6" t="s">
        <v>306</v>
      </c>
      <c r="G22" s="9">
        <v>80</v>
      </c>
      <c r="H22" s="271" t="s">
        <v>178</v>
      </c>
      <c r="I22" s="55"/>
      <c r="J22" s="59"/>
      <c r="K22" s="8" t="s">
        <v>37</v>
      </c>
      <c r="L22" s="59"/>
    </row>
    <row r="23" spans="1:12" x14ac:dyDescent="0.25">
      <c r="A23" s="2">
        <v>22</v>
      </c>
      <c r="B23" s="2" t="s">
        <v>530</v>
      </c>
      <c r="C23" s="2">
        <v>2</v>
      </c>
      <c r="D23" s="2">
        <v>3</v>
      </c>
      <c r="E23" s="2">
        <v>3</v>
      </c>
      <c r="F23" s="6" t="s">
        <v>306</v>
      </c>
      <c r="G23" s="9">
        <v>80</v>
      </c>
      <c r="H23" s="271" t="s">
        <v>178</v>
      </c>
      <c r="I23" s="55"/>
      <c r="J23" s="59"/>
      <c r="K23" s="8" t="s">
        <v>37</v>
      </c>
      <c r="L23" s="59"/>
    </row>
    <row r="24" spans="1:12" x14ac:dyDescent="0.25">
      <c r="A24" s="2">
        <v>23</v>
      </c>
      <c r="B24" s="2" t="s">
        <v>531</v>
      </c>
      <c r="C24" s="2">
        <v>2</v>
      </c>
      <c r="D24" s="2">
        <v>3</v>
      </c>
      <c r="E24" s="2">
        <v>4</v>
      </c>
      <c r="F24" s="10" t="s">
        <v>8</v>
      </c>
      <c r="G24" s="9">
        <v>80</v>
      </c>
      <c r="H24" s="271" t="s">
        <v>178</v>
      </c>
      <c r="I24" s="55"/>
      <c r="J24" s="59"/>
      <c r="K24" s="8" t="s">
        <v>37</v>
      </c>
      <c r="L24" s="59"/>
    </row>
    <row r="25" spans="1:12" x14ac:dyDescent="0.25">
      <c r="A25" s="2">
        <v>24</v>
      </c>
      <c r="B25" s="2" t="s">
        <v>532</v>
      </c>
      <c r="C25" s="2">
        <v>2</v>
      </c>
      <c r="D25" s="2">
        <v>3</v>
      </c>
      <c r="E25" s="2">
        <v>5</v>
      </c>
      <c r="F25" s="6" t="s">
        <v>306</v>
      </c>
      <c r="G25" s="9">
        <v>80</v>
      </c>
      <c r="H25" s="271" t="s">
        <v>178</v>
      </c>
      <c r="I25" s="55"/>
      <c r="J25" s="59"/>
      <c r="K25" s="8" t="s">
        <v>37</v>
      </c>
      <c r="L25" s="59"/>
    </row>
    <row r="26" spans="1:12" x14ac:dyDescent="0.25">
      <c r="A26" s="2">
        <v>25</v>
      </c>
      <c r="B26" s="2" t="s">
        <v>533</v>
      </c>
      <c r="C26" s="2">
        <v>2</v>
      </c>
      <c r="D26" s="2">
        <v>3</v>
      </c>
      <c r="E26" s="2">
        <v>6</v>
      </c>
      <c r="F26" s="6" t="s">
        <v>306</v>
      </c>
      <c r="G26" s="9">
        <v>80</v>
      </c>
      <c r="H26" s="271" t="s">
        <v>178</v>
      </c>
      <c r="I26" s="8"/>
      <c r="J26" s="59"/>
      <c r="K26" s="8" t="s">
        <v>37</v>
      </c>
      <c r="L26" s="59"/>
    </row>
    <row r="27" spans="1:12" x14ac:dyDescent="0.25">
      <c r="A27" s="2">
        <v>26</v>
      </c>
      <c r="B27" s="2" t="s">
        <v>534</v>
      </c>
      <c r="C27" s="2">
        <v>2</v>
      </c>
      <c r="D27" s="2">
        <v>3</v>
      </c>
      <c r="E27" s="2">
        <v>7</v>
      </c>
      <c r="F27" s="10" t="s">
        <v>8</v>
      </c>
      <c r="G27" s="9">
        <v>80</v>
      </c>
      <c r="H27" s="271" t="s">
        <v>178</v>
      </c>
      <c r="I27" s="8"/>
      <c r="J27" s="59"/>
      <c r="K27" s="8" t="s">
        <v>37</v>
      </c>
      <c r="L27" s="59"/>
    </row>
    <row r="28" spans="1:12" x14ac:dyDescent="0.25">
      <c r="A28" s="2">
        <v>27</v>
      </c>
      <c r="B28" s="2" t="s">
        <v>535</v>
      </c>
      <c r="C28" s="2">
        <v>2</v>
      </c>
      <c r="D28" s="2">
        <v>3</v>
      </c>
      <c r="E28" s="13">
        <v>8</v>
      </c>
      <c r="F28" s="12" t="s">
        <v>8</v>
      </c>
      <c r="G28" s="15">
        <v>101.45</v>
      </c>
      <c r="H28" s="271" t="s">
        <v>178</v>
      </c>
      <c r="I28" s="8"/>
      <c r="J28" s="59"/>
      <c r="K28" s="8" t="s">
        <v>37</v>
      </c>
      <c r="L28" s="59"/>
    </row>
    <row r="29" spans="1:12" x14ac:dyDescent="0.25">
      <c r="A29" s="2">
        <v>28</v>
      </c>
      <c r="B29" s="2" t="s">
        <v>536</v>
      </c>
      <c r="C29" s="2">
        <v>2</v>
      </c>
      <c r="D29" s="2">
        <v>3</v>
      </c>
      <c r="E29" s="2">
        <v>9</v>
      </c>
      <c r="F29" s="6" t="s">
        <v>306</v>
      </c>
      <c r="G29" s="9">
        <v>88.497</v>
      </c>
      <c r="H29" s="271" t="s">
        <v>178</v>
      </c>
      <c r="I29" s="8"/>
      <c r="J29" s="59"/>
      <c r="K29" s="8" t="s">
        <v>37</v>
      </c>
      <c r="L29" s="59"/>
    </row>
    <row r="30" spans="1:12" x14ac:dyDescent="0.25">
      <c r="A30" s="2">
        <v>29</v>
      </c>
      <c r="B30" s="2" t="s">
        <v>537</v>
      </c>
      <c r="C30" s="2">
        <v>2</v>
      </c>
      <c r="D30" s="2">
        <v>3</v>
      </c>
      <c r="E30" s="2">
        <v>10</v>
      </c>
      <c r="F30" s="6" t="s">
        <v>306</v>
      </c>
      <c r="G30" s="9">
        <v>92.209000000000003</v>
      </c>
      <c r="H30" s="271" t="s">
        <v>178</v>
      </c>
      <c r="I30" s="8"/>
      <c r="J30" s="59"/>
      <c r="K30" s="8" t="s">
        <v>37</v>
      </c>
      <c r="L30" s="59"/>
    </row>
    <row r="31" spans="1:12" x14ac:dyDescent="0.25">
      <c r="A31" s="2">
        <v>30</v>
      </c>
      <c r="B31" s="2" t="s">
        <v>538</v>
      </c>
      <c r="C31" s="2">
        <v>2</v>
      </c>
      <c r="D31" s="2">
        <v>3</v>
      </c>
      <c r="E31" s="2">
        <v>11</v>
      </c>
      <c r="F31" s="6" t="s">
        <v>306</v>
      </c>
      <c r="G31" s="9">
        <v>80</v>
      </c>
      <c r="H31" s="271" t="s">
        <v>178</v>
      </c>
      <c r="I31" s="8"/>
      <c r="J31" s="59"/>
      <c r="K31" s="8" t="s">
        <v>37</v>
      </c>
      <c r="L31" s="59"/>
    </row>
    <row r="32" spans="1:12" x14ac:dyDescent="0.25">
      <c r="A32" s="2">
        <v>31</v>
      </c>
      <c r="B32" s="2" t="s">
        <v>539</v>
      </c>
      <c r="C32" s="2">
        <v>2</v>
      </c>
      <c r="D32" s="2">
        <v>3</v>
      </c>
      <c r="E32" s="2">
        <v>12</v>
      </c>
      <c r="F32" s="10" t="s">
        <v>8</v>
      </c>
      <c r="G32" s="9">
        <v>80</v>
      </c>
      <c r="H32" s="271" t="s">
        <v>178</v>
      </c>
      <c r="I32" s="8"/>
      <c r="J32" s="59"/>
      <c r="K32" s="8" t="s">
        <v>37</v>
      </c>
      <c r="L32" s="59"/>
    </row>
    <row r="33" spans="1:12" x14ac:dyDescent="0.25">
      <c r="A33" s="2">
        <v>32</v>
      </c>
      <c r="B33" s="2" t="s">
        <v>540</v>
      </c>
      <c r="C33" s="2">
        <v>2</v>
      </c>
      <c r="D33" s="2">
        <v>3</v>
      </c>
      <c r="E33" s="2">
        <v>13</v>
      </c>
      <c r="F33" s="6" t="s">
        <v>306</v>
      </c>
      <c r="G33" s="9">
        <v>80</v>
      </c>
      <c r="H33" s="271" t="s">
        <v>178</v>
      </c>
      <c r="I33" s="8"/>
      <c r="J33" s="59"/>
      <c r="K33" s="8" t="s">
        <v>37</v>
      </c>
      <c r="L33" s="59"/>
    </row>
    <row r="34" spans="1:12" x14ac:dyDescent="0.25">
      <c r="A34" s="2">
        <v>33</v>
      </c>
      <c r="B34" s="2" t="s">
        <v>541</v>
      </c>
      <c r="C34" s="2">
        <v>2</v>
      </c>
      <c r="D34" s="2">
        <v>3</v>
      </c>
      <c r="E34" s="2">
        <v>14</v>
      </c>
      <c r="F34" s="6" t="s">
        <v>306</v>
      </c>
      <c r="G34" s="9">
        <v>80</v>
      </c>
      <c r="H34" s="271" t="s">
        <v>178</v>
      </c>
      <c r="I34" s="8"/>
      <c r="J34" s="59"/>
      <c r="K34" s="8" t="s">
        <v>37</v>
      </c>
      <c r="L34" s="59"/>
    </row>
    <row r="35" spans="1:12" x14ac:dyDescent="0.25">
      <c r="A35" s="2">
        <v>34</v>
      </c>
      <c r="B35" s="2" t="s">
        <v>542</v>
      </c>
      <c r="C35" s="2">
        <v>2</v>
      </c>
      <c r="D35" s="2">
        <v>3</v>
      </c>
      <c r="E35" s="2">
        <v>15</v>
      </c>
      <c r="F35" s="10" t="s">
        <v>8</v>
      </c>
      <c r="G35" s="9">
        <v>83.161000000000001</v>
      </c>
      <c r="H35" s="271" t="s">
        <v>178</v>
      </c>
      <c r="I35" s="8"/>
      <c r="J35" s="59"/>
      <c r="K35" s="8" t="s">
        <v>37</v>
      </c>
      <c r="L35" s="59"/>
    </row>
    <row r="36" spans="1:12" x14ac:dyDescent="0.25">
      <c r="A36" s="2">
        <v>35</v>
      </c>
      <c r="B36" s="2" t="s">
        <v>543</v>
      </c>
      <c r="C36" s="2">
        <v>2</v>
      </c>
      <c r="D36" s="2">
        <v>4</v>
      </c>
      <c r="E36" s="2">
        <v>1</v>
      </c>
      <c r="F36" s="6" t="s">
        <v>306</v>
      </c>
      <c r="G36" s="9">
        <v>83.037999999999997</v>
      </c>
      <c r="H36" s="271" t="s">
        <v>178</v>
      </c>
      <c r="I36" s="8"/>
      <c r="J36" s="59"/>
      <c r="K36" s="8" t="s">
        <v>37</v>
      </c>
      <c r="L36" s="59"/>
    </row>
    <row r="37" spans="1:12" x14ac:dyDescent="0.25">
      <c r="A37" s="2">
        <v>36</v>
      </c>
      <c r="B37" s="2" t="s">
        <v>544</v>
      </c>
      <c r="C37" s="2">
        <v>2</v>
      </c>
      <c r="D37" s="2">
        <v>4</v>
      </c>
      <c r="E37" s="2">
        <v>2</v>
      </c>
      <c r="F37" s="6" t="s">
        <v>306</v>
      </c>
      <c r="G37" s="9">
        <v>80</v>
      </c>
      <c r="H37" s="271" t="s">
        <v>178</v>
      </c>
      <c r="I37" s="8"/>
      <c r="J37" s="59"/>
      <c r="K37" s="8" t="s">
        <v>37</v>
      </c>
      <c r="L37" s="59"/>
    </row>
    <row r="38" spans="1:12" x14ac:dyDescent="0.25">
      <c r="A38" s="2">
        <v>37</v>
      </c>
      <c r="B38" s="2" t="s">
        <v>545</v>
      </c>
      <c r="C38" s="2">
        <v>2</v>
      </c>
      <c r="D38" s="2">
        <v>4</v>
      </c>
      <c r="E38" s="2">
        <v>3</v>
      </c>
      <c r="F38" s="10" t="s">
        <v>8</v>
      </c>
      <c r="G38" s="9">
        <v>80</v>
      </c>
      <c r="H38" s="271" t="s">
        <v>178</v>
      </c>
      <c r="I38" s="8"/>
      <c r="J38" s="59"/>
      <c r="K38" s="8" t="s">
        <v>37</v>
      </c>
      <c r="L38" s="59"/>
    </row>
    <row r="39" spans="1:12" x14ac:dyDescent="0.25">
      <c r="A39" s="2">
        <v>38</v>
      </c>
      <c r="B39" s="2" t="s">
        <v>546</v>
      </c>
      <c r="C39" s="2">
        <v>2</v>
      </c>
      <c r="D39" s="2">
        <v>4</v>
      </c>
      <c r="E39" s="2">
        <v>4</v>
      </c>
      <c r="F39" s="6" t="s">
        <v>306</v>
      </c>
      <c r="G39" s="9">
        <v>80</v>
      </c>
      <c r="H39" s="271" t="s">
        <v>178</v>
      </c>
      <c r="I39" s="8"/>
      <c r="J39" s="59"/>
      <c r="K39" s="8" t="s">
        <v>37</v>
      </c>
      <c r="L39" s="59"/>
    </row>
    <row r="40" spans="1:12" x14ac:dyDescent="0.25">
      <c r="A40" s="2">
        <v>39</v>
      </c>
      <c r="B40" s="2" t="s">
        <v>547</v>
      </c>
      <c r="C40" s="2">
        <v>2</v>
      </c>
      <c r="D40" s="2">
        <v>4</v>
      </c>
      <c r="E40" s="2">
        <v>5</v>
      </c>
      <c r="F40" s="6" t="s">
        <v>306</v>
      </c>
      <c r="G40" s="9">
        <v>80</v>
      </c>
      <c r="H40" s="271" t="s">
        <v>178</v>
      </c>
      <c r="I40" s="8"/>
      <c r="J40" s="59"/>
      <c r="K40" s="8" t="s">
        <v>37</v>
      </c>
      <c r="L40" s="59"/>
    </row>
    <row r="41" spans="1:12" x14ac:dyDescent="0.25">
      <c r="A41" s="2">
        <v>40</v>
      </c>
      <c r="B41" s="2" t="s">
        <v>548</v>
      </c>
      <c r="C41" s="2">
        <v>2</v>
      </c>
      <c r="D41" s="2">
        <v>4</v>
      </c>
      <c r="E41" s="2">
        <v>6</v>
      </c>
      <c r="F41" s="10" t="s">
        <v>8</v>
      </c>
      <c r="G41" s="9">
        <v>80</v>
      </c>
      <c r="H41" s="271" t="s">
        <v>178</v>
      </c>
      <c r="I41" s="8"/>
      <c r="J41" s="59"/>
      <c r="K41" s="8" t="s">
        <v>37</v>
      </c>
      <c r="L41" s="59"/>
    </row>
    <row r="42" spans="1:12" x14ac:dyDescent="0.25">
      <c r="A42" s="2">
        <v>41</v>
      </c>
      <c r="B42" s="2" t="s">
        <v>549</v>
      </c>
      <c r="C42" s="2">
        <v>2</v>
      </c>
      <c r="D42" s="2">
        <v>4</v>
      </c>
      <c r="E42" s="2">
        <v>7</v>
      </c>
      <c r="F42" s="6" t="s">
        <v>306</v>
      </c>
      <c r="G42" s="9">
        <v>80</v>
      </c>
      <c r="H42" s="271" t="s">
        <v>178</v>
      </c>
      <c r="I42" s="8"/>
      <c r="J42" s="59"/>
      <c r="K42" s="8" t="s">
        <v>37</v>
      </c>
      <c r="L42" s="59"/>
    </row>
    <row r="43" spans="1:12" x14ac:dyDescent="0.25">
      <c r="A43" s="2">
        <v>42</v>
      </c>
      <c r="B43" s="2" t="s">
        <v>550</v>
      </c>
      <c r="C43" s="2">
        <v>2</v>
      </c>
      <c r="D43" s="2">
        <v>4</v>
      </c>
      <c r="E43" s="2">
        <v>8</v>
      </c>
      <c r="F43" s="10" t="s">
        <v>8</v>
      </c>
      <c r="G43" s="9">
        <v>80</v>
      </c>
      <c r="H43" s="271" t="s">
        <v>178</v>
      </c>
      <c r="I43" s="8"/>
      <c r="J43" s="59"/>
      <c r="K43" s="8" t="s">
        <v>37</v>
      </c>
      <c r="L43" s="59"/>
    </row>
    <row r="44" spans="1:12" x14ac:dyDescent="0.25">
      <c r="A44" s="2">
        <v>43</v>
      </c>
      <c r="B44" s="2" t="s">
        <v>551</v>
      </c>
      <c r="C44" s="2">
        <v>2</v>
      </c>
      <c r="D44" s="2">
        <v>4</v>
      </c>
      <c r="E44" s="2">
        <v>9</v>
      </c>
      <c r="F44" s="6" t="s">
        <v>306</v>
      </c>
      <c r="G44" s="9">
        <v>80</v>
      </c>
      <c r="H44" s="271" t="s">
        <v>178</v>
      </c>
      <c r="I44" s="8"/>
      <c r="J44" s="59"/>
      <c r="K44" s="8" t="s">
        <v>37</v>
      </c>
      <c r="L44" s="59"/>
    </row>
    <row r="45" spans="1:12" x14ac:dyDescent="0.25">
      <c r="A45" s="2">
        <v>44</v>
      </c>
      <c r="B45" s="2" t="s">
        <v>552</v>
      </c>
      <c r="C45" s="2">
        <v>2</v>
      </c>
      <c r="D45" s="2">
        <v>4</v>
      </c>
      <c r="E45" s="2">
        <v>10</v>
      </c>
      <c r="F45" s="6" t="s">
        <v>306</v>
      </c>
      <c r="G45" s="9">
        <v>80</v>
      </c>
      <c r="H45" s="271" t="s">
        <v>178</v>
      </c>
      <c r="I45" s="8"/>
      <c r="J45" s="59"/>
      <c r="K45" s="8" t="s">
        <v>37</v>
      </c>
      <c r="L45" s="59"/>
    </row>
    <row r="46" spans="1:12" x14ac:dyDescent="0.25">
      <c r="A46" s="2">
        <v>45</v>
      </c>
      <c r="B46" s="2" t="s">
        <v>553</v>
      </c>
      <c r="C46" s="2">
        <v>2</v>
      </c>
      <c r="D46" s="2">
        <v>4</v>
      </c>
      <c r="E46" s="2">
        <v>11</v>
      </c>
      <c r="F46" s="10" t="s">
        <v>8</v>
      </c>
      <c r="G46" s="9">
        <v>80</v>
      </c>
      <c r="H46" s="271" t="s">
        <v>178</v>
      </c>
      <c r="I46" s="8"/>
      <c r="J46" s="59"/>
      <c r="K46" s="8" t="s">
        <v>37</v>
      </c>
      <c r="L46" s="59"/>
    </row>
    <row r="47" spans="1:12" x14ac:dyDescent="0.25">
      <c r="A47" s="2">
        <v>46</v>
      </c>
      <c r="B47" s="2" t="s">
        <v>554</v>
      </c>
      <c r="C47" s="2">
        <v>2</v>
      </c>
      <c r="D47" s="2">
        <v>4</v>
      </c>
      <c r="E47" s="2">
        <v>12</v>
      </c>
      <c r="F47" s="6" t="s">
        <v>306</v>
      </c>
      <c r="G47" s="9">
        <v>80</v>
      </c>
      <c r="H47" s="271" t="s">
        <v>178</v>
      </c>
      <c r="I47" s="8"/>
      <c r="J47" s="59"/>
      <c r="K47" s="8" t="s">
        <v>37</v>
      </c>
      <c r="L47" s="59"/>
    </row>
    <row r="48" spans="1:12" x14ac:dyDescent="0.25">
      <c r="A48" s="2">
        <v>47</v>
      </c>
      <c r="B48" s="2" t="s">
        <v>555</v>
      </c>
      <c r="C48" s="2">
        <v>2</v>
      </c>
      <c r="D48" s="2">
        <v>4</v>
      </c>
      <c r="E48" s="2">
        <v>13</v>
      </c>
      <c r="F48" s="6" t="s">
        <v>306</v>
      </c>
      <c r="G48" s="9">
        <v>80</v>
      </c>
      <c r="H48" s="271" t="s">
        <v>178</v>
      </c>
      <c r="I48" s="8"/>
      <c r="J48" s="59"/>
      <c r="K48" s="8" t="s">
        <v>37</v>
      </c>
      <c r="L48" s="59"/>
    </row>
    <row r="49" spans="1:12" x14ac:dyDescent="0.25">
      <c r="A49" s="2">
        <v>48</v>
      </c>
      <c r="B49" s="2" t="s">
        <v>556</v>
      </c>
      <c r="C49" s="2">
        <v>2</v>
      </c>
      <c r="D49" s="2">
        <v>4</v>
      </c>
      <c r="E49" s="2">
        <v>14</v>
      </c>
      <c r="F49" s="10" t="s">
        <v>8</v>
      </c>
      <c r="G49" s="9">
        <v>80</v>
      </c>
      <c r="H49" s="271" t="s">
        <v>178</v>
      </c>
      <c r="I49" s="8"/>
      <c r="J49" s="59"/>
      <c r="K49" s="8" t="s">
        <v>37</v>
      </c>
      <c r="L49" s="59"/>
    </row>
    <row r="50" spans="1:12" x14ac:dyDescent="0.25">
      <c r="A50" s="2">
        <v>49</v>
      </c>
      <c r="B50" s="2" t="s">
        <v>557</v>
      </c>
      <c r="C50" s="2">
        <v>2</v>
      </c>
      <c r="D50" s="2">
        <v>4</v>
      </c>
      <c r="E50" s="2">
        <v>15</v>
      </c>
      <c r="F50" s="6" t="s">
        <v>306</v>
      </c>
      <c r="G50" s="9">
        <v>80</v>
      </c>
      <c r="H50" s="271" t="s">
        <v>178</v>
      </c>
      <c r="I50" s="8"/>
      <c r="J50" s="59"/>
      <c r="K50" s="8" t="s">
        <v>37</v>
      </c>
      <c r="L50" s="59"/>
    </row>
    <row r="51" spans="1:12" x14ac:dyDescent="0.25">
      <c r="A51" s="2">
        <v>50</v>
      </c>
      <c r="B51" s="2" t="s">
        <v>558</v>
      </c>
      <c r="C51" s="2">
        <v>2</v>
      </c>
      <c r="D51" s="2">
        <v>4</v>
      </c>
      <c r="E51" s="2">
        <v>16</v>
      </c>
      <c r="F51" s="6" t="s">
        <v>306</v>
      </c>
      <c r="G51" s="9">
        <v>80</v>
      </c>
      <c r="H51" s="271" t="s">
        <v>178</v>
      </c>
      <c r="I51" s="8"/>
      <c r="J51" s="59"/>
      <c r="K51" s="8" t="s">
        <v>37</v>
      </c>
      <c r="L51" s="59"/>
    </row>
    <row r="52" spans="1:12" x14ac:dyDescent="0.25">
      <c r="A52" s="2">
        <v>51</v>
      </c>
      <c r="B52" s="2" t="s">
        <v>559</v>
      </c>
      <c r="C52" s="2">
        <v>2</v>
      </c>
      <c r="D52" s="2">
        <v>4</v>
      </c>
      <c r="E52" s="2">
        <v>17</v>
      </c>
      <c r="F52" s="10" t="s">
        <v>8</v>
      </c>
      <c r="G52" s="9">
        <v>82.852999999999994</v>
      </c>
      <c r="H52" s="271" t="s">
        <v>178</v>
      </c>
      <c r="I52" s="8"/>
      <c r="J52" s="59"/>
      <c r="K52" s="8" t="s">
        <v>37</v>
      </c>
      <c r="L52" s="59"/>
    </row>
    <row r="53" spans="1:12" x14ac:dyDescent="0.25">
      <c r="A53" s="2">
        <v>52</v>
      </c>
      <c r="B53" s="2" t="s">
        <v>560</v>
      </c>
      <c r="C53" s="2">
        <v>2</v>
      </c>
      <c r="D53" s="2">
        <v>5</v>
      </c>
      <c r="E53" s="2">
        <v>1</v>
      </c>
      <c r="F53" s="10" t="s">
        <v>8</v>
      </c>
      <c r="G53" s="9">
        <v>82.73</v>
      </c>
      <c r="H53" s="271" t="s">
        <v>178</v>
      </c>
      <c r="I53" s="8"/>
      <c r="J53" s="59"/>
      <c r="K53" s="8" t="s">
        <v>37</v>
      </c>
      <c r="L53" s="59"/>
    </row>
    <row r="54" spans="1:12" x14ac:dyDescent="0.25">
      <c r="A54" s="2">
        <v>53</v>
      </c>
      <c r="B54" s="2" t="s">
        <v>561</v>
      </c>
      <c r="C54" s="2">
        <v>2</v>
      </c>
      <c r="D54" s="2">
        <v>5</v>
      </c>
      <c r="E54" s="2">
        <v>2</v>
      </c>
      <c r="F54" s="6" t="s">
        <v>306</v>
      </c>
      <c r="G54" s="9">
        <v>80</v>
      </c>
      <c r="H54" s="271" t="s">
        <v>178</v>
      </c>
      <c r="I54" s="8"/>
      <c r="J54" s="59"/>
      <c r="K54" s="8" t="s">
        <v>37</v>
      </c>
      <c r="L54" s="59"/>
    </row>
    <row r="55" spans="1:12" x14ac:dyDescent="0.25">
      <c r="A55" s="2">
        <v>54</v>
      </c>
      <c r="B55" s="2" t="s">
        <v>562</v>
      </c>
      <c r="C55" s="2">
        <v>2</v>
      </c>
      <c r="D55" s="2">
        <v>5</v>
      </c>
      <c r="E55" s="2">
        <v>3</v>
      </c>
      <c r="F55" s="6" t="s">
        <v>306</v>
      </c>
      <c r="G55" s="9">
        <v>80</v>
      </c>
      <c r="H55" s="271" t="s">
        <v>178</v>
      </c>
      <c r="I55" s="8"/>
      <c r="J55" s="59"/>
      <c r="K55" s="8" t="s">
        <v>37</v>
      </c>
      <c r="L55" s="59"/>
    </row>
    <row r="56" spans="1:12" x14ac:dyDescent="0.25">
      <c r="A56" s="2">
        <v>55</v>
      </c>
      <c r="B56" s="2" t="s">
        <v>563</v>
      </c>
      <c r="C56" s="2">
        <v>2</v>
      </c>
      <c r="D56" s="2">
        <v>5</v>
      </c>
      <c r="E56" s="2">
        <v>4</v>
      </c>
      <c r="F56" s="10" t="s">
        <v>8</v>
      </c>
      <c r="G56" s="9">
        <v>80</v>
      </c>
      <c r="H56" s="271" t="s">
        <v>178</v>
      </c>
      <c r="I56" s="8"/>
      <c r="J56" s="59"/>
      <c r="K56" s="8" t="s">
        <v>37</v>
      </c>
      <c r="L56" s="59"/>
    </row>
    <row r="57" spans="1:12" x14ac:dyDescent="0.25">
      <c r="A57" s="2">
        <v>56</v>
      </c>
      <c r="B57" s="2" t="s">
        <v>564</v>
      </c>
      <c r="C57" s="2">
        <v>2</v>
      </c>
      <c r="D57" s="2">
        <v>5</v>
      </c>
      <c r="E57" s="2">
        <v>5</v>
      </c>
      <c r="F57" s="6" t="s">
        <v>306</v>
      </c>
      <c r="G57" s="9">
        <v>80</v>
      </c>
      <c r="H57" s="271" t="s">
        <v>178</v>
      </c>
      <c r="I57" s="8"/>
      <c r="J57" s="59"/>
      <c r="K57" s="8" t="s">
        <v>37</v>
      </c>
      <c r="L57" s="59"/>
    </row>
    <row r="58" spans="1:12" x14ac:dyDescent="0.25">
      <c r="A58" s="2">
        <v>57</v>
      </c>
      <c r="B58" s="2" t="s">
        <v>565</v>
      </c>
      <c r="C58" s="2">
        <v>2</v>
      </c>
      <c r="D58" s="2">
        <v>5</v>
      </c>
      <c r="E58" s="2">
        <v>6</v>
      </c>
      <c r="F58" s="6" t="s">
        <v>306</v>
      </c>
      <c r="G58" s="9">
        <v>80</v>
      </c>
      <c r="H58" s="271" t="s">
        <v>178</v>
      </c>
      <c r="I58" s="8"/>
      <c r="J58" s="59"/>
      <c r="K58" s="8" t="s">
        <v>37</v>
      </c>
      <c r="L58" s="59"/>
    </row>
    <row r="59" spans="1:12" x14ac:dyDescent="0.25">
      <c r="A59" s="2">
        <v>58</v>
      </c>
      <c r="B59" s="2" t="s">
        <v>566</v>
      </c>
      <c r="C59" s="2">
        <v>2</v>
      </c>
      <c r="D59" s="2">
        <v>5</v>
      </c>
      <c r="E59" s="2">
        <v>7</v>
      </c>
      <c r="F59" s="10" t="s">
        <v>8</v>
      </c>
      <c r="G59" s="9">
        <v>80</v>
      </c>
      <c r="H59" s="271" t="s">
        <v>178</v>
      </c>
      <c r="I59" s="8"/>
      <c r="J59" s="59"/>
      <c r="K59" s="8" t="s">
        <v>37</v>
      </c>
      <c r="L59" s="59"/>
    </row>
    <row r="60" spans="1:12" x14ac:dyDescent="0.25">
      <c r="A60" s="2">
        <v>59</v>
      </c>
      <c r="B60" s="2" t="s">
        <v>567</v>
      </c>
      <c r="C60" s="2">
        <v>2</v>
      </c>
      <c r="D60" s="2">
        <v>5</v>
      </c>
      <c r="E60" s="2">
        <v>8</v>
      </c>
      <c r="F60" s="6" t="s">
        <v>306</v>
      </c>
      <c r="G60" s="9">
        <v>80</v>
      </c>
      <c r="H60" s="271" t="s">
        <v>178</v>
      </c>
      <c r="I60" s="8"/>
      <c r="J60" s="59"/>
      <c r="K60" s="8" t="s">
        <v>37</v>
      </c>
      <c r="L60" s="59"/>
    </row>
    <row r="61" spans="1:12" x14ac:dyDescent="0.25">
      <c r="A61" s="2">
        <v>60</v>
      </c>
      <c r="B61" s="2" t="s">
        <v>568</v>
      </c>
      <c r="C61" s="2">
        <v>2</v>
      </c>
      <c r="D61" s="2">
        <v>5</v>
      </c>
      <c r="E61" s="2">
        <v>9</v>
      </c>
      <c r="F61" s="6" t="s">
        <v>306</v>
      </c>
      <c r="G61" s="9">
        <v>80</v>
      </c>
      <c r="H61" s="271" t="s">
        <v>178</v>
      </c>
      <c r="I61" s="8"/>
      <c r="J61" s="59"/>
      <c r="K61" s="8" t="s">
        <v>37</v>
      </c>
      <c r="L61" s="59"/>
    </row>
    <row r="62" spans="1:12" x14ac:dyDescent="0.25">
      <c r="A62" s="2">
        <v>61</v>
      </c>
      <c r="B62" s="2" t="s">
        <v>569</v>
      </c>
      <c r="C62" s="2">
        <v>2</v>
      </c>
      <c r="D62" s="2">
        <v>5</v>
      </c>
      <c r="E62" s="2">
        <v>10</v>
      </c>
      <c r="F62" s="10" t="s">
        <v>8</v>
      </c>
      <c r="G62" s="9">
        <v>94.759</v>
      </c>
      <c r="H62" s="271" t="s">
        <v>178</v>
      </c>
      <c r="I62" s="8"/>
      <c r="J62" s="59"/>
      <c r="K62" s="8" t="s">
        <v>37</v>
      </c>
      <c r="L62" s="59"/>
    </row>
    <row r="63" spans="1:12" x14ac:dyDescent="0.25">
      <c r="A63" s="2">
        <v>62</v>
      </c>
      <c r="B63" s="2" t="s">
        <v>570</v>
      </c>
      <c r="C63" s="2">
        <v>2</v>
      </c>
      <c r="D63" s="2">
        <v>5</v>
      </c>
      <c r="E63" s="2">
        <v>11</v>
      </c>
      <c r="F63" s="10" t="s">
        <v>8</v>
      </c>
      <c r="G63" s="9">
        <v>80</v>
      </c>
      <c r="H63" s="271" t="s">
        <v>178</v>
      </c>
      <c r="I63" s="8"/>
      <c r="J63" s="59"/>
      <c r="K63" s="8" t="s">
        <v>37</v>
      </c>
      <c r="L63" s="59"/>
    </row>
    <row r="64" spans="1:12" x14ac:dyDescent="0.25">
      <c r="A64" s="2">
        <v>63</v>
      </c>
      <c r="B64" s="2" t="s">
        <v>571</v>
      </c>
      <c r="C64" s="2">
        <v>2</v>
      </c>
      <c r="D64" s="2">
        <v>5</v>
      </c>
      <c r="E64" s="2">
        <v>12</v>
      </c>
      <c r="F64" s="6" t="s">
        <v>306</v>
      </c>
      <c r="G64" s="9">
        <v>80</v>
      </c>
      <c r="H64" s="271" t="s">
        <v>178</v>
      </c>
      <c r="I64" s="8"/>
      <c r="J64" s="59"/>
      <c r="K64" s="8" t="s">
        <v>37</v>
      </c>
      <c r="L64" s="59"/>
    </row>
    <row r="65" spans="1:12" x14ac:dyDescent="0.25">
      <c r="A65" s="2">
        <v>64</v>
      </c>
      <c r="B65" s="2" t="s">
        <v>572</v>
      </c>
      <c r="C65" s="2">
        <v>2</v>
      </c>
      <c r="D65" s="2">
        <v>5</v>
      </c>
      <c r="E65" s="2">
        <v>13</v>
      </c>
      <c r="F65" s="6" t="s">
        <v>306</v>
      </c>
      <c r="G65" s="9">
        <v>80</v>
      </c>
      <c r="H65" s="271" t="s">
        <v>178</v>
      </c>
      <c r="I65" s="8"/>
      <c r="J65" s="59"/>
      <c r="K65" s="8" t="s">
        <v>37</v>
      </c>
      <c r="L65" s="59"/>
    </row>
    <row r="66" spans="1:12" x14ac:dyDescent="0.25">
      <c r="A66" s="2">
        <v>65</v>
      </c>
      <c r="B66" s="2" t="s">
        <v>573</v>
      </c>
      <c r="C66" s="2">
        <v>2</v>
      </c>
      <c r="D66" s="2">
        <v>5</v>
      </c>
      <c r="E66" s="2">
        <v>14</v>
      </c>
      <c r="F66" s="10" t="s">
        <v>8</v>
      </c>
      <c r="G66" s="9">
        <v>80</v>
      </c>
      <c r="H66" s="271" t="s">
        <v>178</v>
      </c>
      <c r="I66" s="8"/>
      <c r="J66" s="59"/>
      <c r="K66" s="8" t="s">
        <v>37</v>
      </c>
      <c r="L66" s="59"/>
    </row>
    <row r="67" spans="1:12" x14ac:dyDescent="0.25">
      <c r="A67" s="2">
        <v>66</v>
      </c>
      <c r="B67" s="2" t="s">
        <v>574</v>
      </c>
      <c r="C67" s="2">
        <v>2</v>
      </c>
      <c r="D67" s="2">
        <v>5</v>
      </c>
      <c r="E67" s="2">
        <v>15</v>
      </c>
      <c r="F67" s="6" t="s">
        <v>306</v>
      </c>
      <c r="G67" s="9">
        <v>80</v>
      </c>
      <c r="H67" s="271" t="s">
        <v>178</v>
      </c>
      <c r="I67" s="8"/>
      <c r="J67" s="59"/>
      <c r="K67" s="8" t="s">
        <v>37</v>
      </c>
      <c r="L67" s="59"/>
    </row>
    <row r="68" spans="1:12" x14ac:dyDescent="0.25">
      <c r="A68" s="2">
        <v>67</v>
      </c>
      <c r="B68" s="2" t="s">
        <v>575</v>
      </c>
      <c r="C68" s="2">
        <v>2</v>
      </c>
      <c r="D68" s="2">
        <v>5</v>
      </c>
      <c r="E68" s="2">
        <v>16</v>
      </c>
      <c r="F68" s="6" t="s">
        <v>306</v>
      </c>
      <c r="G68" s="9">
        <v>80</v>
      </c>
      <c r="H68" s="271" t="s">
        <v>178</v>
      </c>
      <c r="I68" s="8"/>
      <c r="J68" s="59"/>
      <c r="K68" s="8" t="s">
        <v>37</v>
      </c>
      <c r="L68" s="59"/>
    </row>
    <row r="69" spans="1:12" x14ac:dyDescent="0.25">
      <c r="A69" s="2">
        <v>68</v>
      </c>
      <c r="B69" s="2" t="s">
        <v>576</v>
      </c>
      <c r="C69" s="2">
        <v>2</v>
      </c>
      <c r="D69" s="2">
        <v>5</v>
      </c>
      <c r="E69" s="2">
        <v>17</v>
      </c>
      <c r="F69" s="10" t="s">
        <v>8</v>
      </c>
      <c r="G69" s="9">
        <v>80</v>
      </c>
      <c r="H69" s="271" t="s">
        <v>178</v>
      </c>
      <c r="I69" s="8"/>
      <c r="J69" s="59"/>
      <c r="K69" s="8" t="s">
        <v>37</v>
      </c>
      <c r="L69" s="59"/>
    </row>
    <row r="70" spans="1:12" x14ac:dyDescent="0.25">
      <c r="A70" s="2">
        <v>69</v>
      </c>
      <c r="B70" s="2" t="s">
        <v>577</v>
      </c>
      <c r="C70" s="2">
        <v>2</v>
      </c>
      <c r="D70" s="2">
        <v>5</v>
      </c>
      <c r="E70" s="2">
        <v>18</v>
      </c>
      <c r="F70" s="6" t="s">
        <v>306</v>
      </c>
      <c r="G70" s="9">
        <v>80</v>
      </c>
      <c r="H70" s="271" t="s">
        <v>178</v>
      </c>
      <c r="I70" s="8"/>
      <c r="J70" s="59"/>
      <c r="K70" s="8" t="s">
        <v>37</v>
      </c>
      <c r="L70" s="59"/>
    </row>
    <row r="71" spans="1:12" x14ac:dyDescent="0.25">
      <c r="A71" s="2">
        <v>70</v>
      </c>
      <c r="B71" s="2" t="s">
        <v>578</v>
      </c>
      <c r="C71" s="2">
        <v>2</v>
      </c>
      <c r="D71" s="2">
        <v>5</v>
      </c>
      <c r="E71" s="2">
        <v>19</v>
      </c>
      <c r="F71" s="6" t="s">
        <v>306</v>
      </c>
      <c r="G71" s="9">
        <v>80</v>
      </c>
      <c r="H71" s="271" t="s">
        <v>178</v>
      </c>
      <c r="I71" s="8"/>
      <c r="J71" s="59"/>
      <c r="K71" s="8" t="s">
        <v>37</v>
      </c>
      <c r="L71" s="59"/>
    </row>
    <row r="72" spans="1:12" x14ac:dyDescent="0.25">
      <c r="A72" s="2">
        <v>71</v>
      </c>
      <c r="B72" s="2" t="s">
        <v>579</v>
      </c>
      <c r="C72" s="2">
        <v>2</v>
      </c>
      <c r="D72" s="2">
        <v>5</v>
      </c>
      <c r="E72" s="2">
        <v>20</v>
      </c>
      <c r="F72" s="10" t="s">
        <v>8</v>
      </c>
      <c r="G72" s="9">
        <v>82.545000000000002</v>
      </c>
      <c r="H72" s="271" t="s">
        <v>178</v>
      </c>
      <c r="I72" s="8"/>
      <c r="J72" s="59"/>
      <c r="K72" s="8" t="s">
        <v>37</v>
      </c>
      <c r="L72" s="59"/>
    </row>
    <row r="73" spans="1:12" x14ac:dyDescent="0.25">
      <c r="A73" s="2">
        <v>72</v>
      </c>
      <c r="B73" s="2" t="s">
        <v>580</v>
      </c>
      <c r="C73" s="2">
        <v>2</v>
      </c>
      <c r="D73" s="2">
        <v>6</v>
      </c>
      <c r="E73" s="2">
        <v>1</v>
      </c>
      <c r="F73" s="10" t="s">
        <v>8</v>
      </c>
      <c r="G73" s="9">
        <v>82.421000000000006</v>
      </c>
      <c r="H73" s="271" t="s">
        <v>177</v>
      </c>
      <c r="I73" s="8"/>
      <c r="J73" s="59"/>
      <c r="K73" s="8" t="s">
        <v>37</v>
      </c>
      <c r="L73" s="59"/>
    </row>
    <row r="74" spans="1:12" x14ac:dyDescent="0.25">
      <c r="A74" s="2">
        <v>73</v>
      </c>
      <c r="B74" s="2" t="s">
        <v>581</v>
      </c>
      <c r="C74" s="2">
        <v>2</v>
      </c>
      <c r="D74" s="2">
        <v>6</v>
      </c>
      <c r="E74" s="2">
        <v>2</v>
      </c>
      <c r="F74" s="6" t="s">
        <v>306</v>
      </c>
      <c r="G74" s="9">
        <v>80</v>
      </c>
      <c r="H74" s="271" t="s">
        <v>177</v>
      </c>
      <c r="I74" s="8"/>
      <c r="J74" s="59"/>
      <c r="K74" s="8" t="s">
        <v>37</v>
      </c>
      <c r="L74" s="59"/>
    </row>
    <row r="75" spans="1:12" x14ac:dyDescent="0.25">
      <c r="A75" s="2">
        <v>74</v>
      </c>
      <c r="B75" s="2" t="s">
        <v>582</v>
      </c>
      <c r="C75" s="2">
        <v>2</v>
      </c>
      <c r="D75" s="2">
        <v>6</v>
      </c>
      <c r="E75" s="2">
        <v>3</v>
      </c>
      <c r="F75" s="6" t="s">
        <v>306</v>
      </c>
      <c r="G75" s="9">
        <v>80</v>
      </c>
      <c r="H75" s="271" t="s">
        <v>177</v>
      </c>
      <c r="I75" s="8"/>
      <c r="J75" s="59"/>
      <c r="K75" s="8" t="s">
        <v>37</v>
      </c>
      <c r="L75" s="59"/>
    </row>
    <row r="76" spans="1:12" x14ac:dyDescent="0.25">
      <c r="A76" s="2">
        <v>75</v>
      </c>
      <c r="B76" s="2" t="s">
        <v>583</v>
      </c>
      <c r="C76" s="2">
        <v>2</v>
      </c>
      <c r="D76" s="2">
        <v>6</v>
      </c>
      <c r="E76" s="2">
        <v>4</v>
      </c>
      <c r="F76" s="10" t="s">
        <v>8</v>
      </c>
      <c r="G76" s="9">
        <v>80</v>
      </c>
      <c r="H76" s="271" t="s">
        <v>177</v>
      </c>
      <c r="I76" s="8"/>
      <c r="J76" s="59"/>
      <c r="K76" s="8" t="s">
        <v>37</v>
      </c>
      <c r="L76" s="59"/>
    </row>
    <row r="77" spans="1:12" x14ac:dyDescent="0.25">
      <c r="A77" s="2">
        <v>76</v>
      </c>
      <c r="B77" s="2" t="s">
        <v>584</v>
      </c>
      <c r="C77" s="2">
        <v>2</v>
      </c>
      <c r="D77" s="2">
        <v>6</v>
      </c>
      <c r="E77" s="2">
        <v>5</v>
      </c>
      <c r="F77" s="6" t="s">
        <v>306</v>
      </c>
      <c r="G77" s="9">
        <v>80</v>
      </c>
      <c r="H77" s="271" t="s">
        <v>177</v>
      </c>
      <c r="I77" s="8"/>
      <c r="J77" s="59"/>
      <c r="K77" s="8" t="s">
        <v>37</v>
      </c>
      <c r="L77" s="59"/>
    </row>
    <row r="78" spans="1:12" x14ac:dyDescent="0.25">
      <c r="A78" s="2">
        <v>77</v>
      </c>
      <c r="B78" s="2" t="s">
        <v>585</v>
      </c>
      <c r="C78" s="13">
        <v>2</v>
      </c>
      <c r="D78" s="13">
        <v>6</v>
      </c>
      <c r="E78" s="13">
        <v>6</v>
      </c>
      <c r="F78" s="6" t="s">
        <v>306</v>
      </c>
      <c r="G78" s="9">
        <v>80</v>
      </c>
      <c r="H78" s="271" t="s">
        <v>177</v>
      </c>
      <c r="I78" s="8"/>
      <c r="J78" s="59"/>
      <c r="K78" s="8" t="s">
        <v>37</v>
      </c>
      <c r="L78" s="59"/>
    </row>
    <row r="79" spans="1:12" x14ac:dyDescent="0.25">
      <c r="A79" s="2">
        <v>78</v>
      </c>
      <c r="B79" s="2" t="s">
        <v>586</v>
      </c>
      <c r="C79" s="2">
        <v>2</v>
      </c>
      <c r="D79" s="2">
        <v>6</v>
      </c>
      <c r="E79" s="2">
        <v>7</v>
      </c>
      <c r="F79" s="10" t="s">
        <v>8</v>
      </c>
      <c r="G79" s="9">
        <v>80</v>
      </c>
      <c r="H79" s="271" t="s">
        <v>177</v>
      </c>
      <c r="I79" s="8"/>
      <c r="J79" s="59"/>
      <c r="K79" s="8" t="s">
        <v>37</v>
      </c>
      <c r="L79" s="59"/>
    </row>
    <row r="80" spans="1:12" x14ac:dyDescent="0.25">
      <c r="A80" s="2">
        <v>79</v>
      </c>
      <c r="B80" s="2" t="s">
        <v>587</v>
      </c>
      <c r="C80" s="2">
        <v>2</v>
      </c>
      <c r="D80" s="2">
        <v>6</v>
      </c>
      <c r="E80" s="2">
        <v>8</v>
      </c>
      <c r="F80" s="6" t="s">
        <v>306</v>
      </c>
      <c r="G80" s="9">
        <v>80</v>
      </c>
      <c r="H80" s="271" t="s">
        <v>177</v>
      </c>
      <c r="I80" s="8"/>
      <c r="J80" s="59"/>
      <c r="K80" s="8" t="s">
        <v>37</v>
      </c>
      <c r="L80" s="59"/>
    </row>
    <row r="81" spans="1:12" x14ac:dyDescent="0.25">
      <c r="A81" s="2">
        <v>80</v>
      </c>
      <c r="B81" s="2" t="s">
        <v>588</v>
      </c>
      <c r="C81" s="2">
        <v>2</v>
      </c>
      <c r="D81" s="2">
        <v>6</v>
      </c>
      <c r="E81" s="2">
        <v>9</v>
      </c>
      <c r="F81" s="6" t="s">
        <v>306</v>
      </c>
      <c r="G81" s="9">
        <v>80.322999999999993</v>
      </c>
      <c r="H81" s="271" t="s">
        <v>177</v>
      </c>
      <c r="I81" s="8"/>
      <c r="J81" s="59"/>
      <c r="K81" s="8" t="s">
        <v>37</v>
      </c>
      <c r="L81" s="59"/>
    </row>
    <row r="82" spans="1:12" x14ac:dyDescent="0.25">
      <c r="A82" s="2">
        <v>81</v>
      </c>
      <c r="B82" s="2" t="s">
        <v>589</v>
      </c>
      <c r="C82" s="2">
        <v>2</v>
      </c>
      <c r="D82" s="2">
        <v>6</v>
      </c>
      <c r="E82" s="2">
        <v>10</v>
      </c>
      <c r="F82" s="6" t="s">
        <v>306</v>
      </c>
      <c r="G82" s="9">
        <v>84.034999999999997</v>
      </c>
      <c r="H82" s="271" t="s">
        <v>177</v>
      </c>
      <c r="I82" s="8"/>
      <c r="J82" s="59"/>
      <c r="K82" s="8" t="s">
        <v>37</v>
      </c>
      <c r="L82" s="59"/>
    </row>
    <row r="83" spans="1:12" x14ac:dyDescent="0.25">
      <c r="A83" s="2">
        <v>82</v>
      </c>
      <c r="B83" s="2" t="s">
        <v>590</v>
      </c>
      <c r="C83" s="2">
        <v>2</v>
      </c>
      <c r="D83" s="2">
        <v>6</v>
      </c>
      <c r="E83" s="2">
        <v>11</v>
      </c>
      <c r="F83" s="10" t="s">
        <v>8</v>
      </c>
      <c r="G83" s="9">
        <v>105.44199999999999</v>
      </c>
      <c r="H83" s="271" t="s">
        <v>177</v>
      </c>
      <c r="I83" s="8"/>
      <c r="J83" s="59"/>
      <c r="K83" s="8" t="s">
        <v>37</v>
      </c>
      <c r="L83" s="59"/>
    </row>
    <row r="84" spans="1:12" x14ac:dyDescent="0.25">
      <c r="A84" s="2">
        <v>83</v>
      </c>
      <c r="B84" s="2" t="s">
        <v>591</v>
      </c>
      <c r="C84" s="2">
        <v>2</v>
      </c>
      <c r="D84" s="2">
        <v>6</v>
      </c>
      <c r="E84" s="2">
        <v>12</v>
      </c>
      <c r="F84" s="6" t="s">
        <v>306</v>
      </c>
      <c r="G84" s="9">
        <v>80</v>
      </c>
      <c r="H84" s="271" t="s">
        <v>177</v>
      </c>
      <c r="I84" s="8"/>
      <c r="J84" s="59"/>
      <c r="K84" s="8" t="s">
        <v>37</v>
      </c>
      <c r="L84" s="59"/>
    </row>
    <row r="85" spans="1:12" x14ac:dyDescent="0.25">
      <c r="A85" s="2">
        <v>84</v>
      </c>
      <c r="B85" s="2" t="s">
        <v>592</v>
      </c>
      <c r="C85" s="13">
        <v>2</v>
      </c>
      <c r="D85" s="13">
        <v>6</v>
      </c>
      <c r="E85" s="13">
        <v>13</v>
      </c>
      <c r="F85" s="12" t="s">
        <v>8</v>
      </c>
      <c r="G85" s="15">
        <v>80</v>
      </c>
      <c r="H85" s="271" t="s">
        <v>177</v>
      </c>
      <c r="I85" s="8"/>
      <c r="J85" s="59"/>
      <c r="K85" s="8" t="s">
        <v>37</v>
      </c>
      <c r="L85" s="59"/>
    </row>
    <row r="86" spans="1:12" x14ac:dyDescent="0.25">
      <c r="A86" s="2">
        <v>85</v>
      </c>
      <c r="B86" s="2" t="s">
        <v>593</v>
      </c>
      <c r="C86" s="2">
        <v>2</v>
      </c>
      <c r="D86" s="2">
        <v>6</v>
      </c>
      <c r="E86" s="2">
        <v>14</v>
      </c>
      <c r="F86" s="6" t="s">
        <v>306</v>
      </c>
      <c r="G86" s="15">
        <v>80</v>
      </c>
      <c r="H86" s="271" t="s">
        <v>177</v>
      </c>
      <c r="I86" s="8"/>
      <c r="J86" s="59"/>
      <c r="K86" s="8" t="s">
        <v>37</v>
      </c>
      <c r="L86" s="59"/>
    </row>
    <row r="87" spans="1:12" x14ac:dyDescent="0.25">
      <c r="A87" s="2">
        <v>86</v>
      </c>
      <c r="B87" s="2" t="s">
        <v>594</v>
      </c>
      <c r="C87" s="2">
        <v>2</v>
      </c>
      <c r="D87" s="2">
        <v>6</v>
      </c>
      <c r="E87" s="2">
        <v>15</v>
      </c>
      <c r="F87" s="6" t="s">
        <v>306</v>
      </c>
      <c r="G87" s="15">
        <v>80</v>
      </c>
      <c r="H87" s="271" t="s">
        <v>177</v>
      </c>
      <c r="I87" s="8"/>
      <c r="J87" s="59"/>
      <c r="K87" s="8" t="s">
        <v>37</v>
      </c>
      <c r="L87" s="59"/>
    </row>
    <row r="88" spans="1:12" x14ac:dyDescent="0.25">
      <c r="A88" s="2">
        <v>87</v>
      </c>
      <c r="B88" s="2" t="s">
        <v>585</v>
      </c>
      <c r="C88" s="2">
        <v>2</v>
      </c>
      <c r="D88" s="2">
        <v>6</v>
      </c>
      <c r="E88" s="2">
        <v>6</v>
      </c>
      <c r="F88" s="10" t="s">
        <v>8</v>
      </c>
      <c r="G88" s="15">
        <v>80</v>
      </c>
      <c r="H88" s="271" t="s">
        <v>177</v>
      </c>
      <c r="I88" s="8"/>
      <c r="J88" s="59"/>
      <c r="K88" s="8" t="s">
        <v>37</v>
      </c>
      <c r="L88" s="59"/>
    </row>
    <row r="89" spans="1:12" x14ac:dyDescent="0.25">
      <c r="A89" s="2">
        <v>88</v>
      </c>
      <c r="B89" s="2" t="s">
        <v>595</v>
      </c>
      <c r="C89" s="2">
        <v>2</v>
      </c>
      <c r="D89" s="2">
        <v>6</v>
      </c>
      <c r="E89" s="2">
        <v>17</v>
      </c>
      <c r="F89" s="6" t="s">
        <v>306</v>
      </c>
      <c r="G89" s="15">
        <v>80</v>
      </c>
      <c r="H89" s="271" t="s">
        <v>177</v>
      </c>
      <c r="I89" s="8"/>
      <c r="J89" s="59"/>
      <c r="K89" s="8" t="s">
        <v>37</v>
      </c>
      <c r="L89" s="59"/>
    </row>
    <row r="90" spans="1:12" x14ac:dyDescent="0.25">
      <c r="A90" s="2">
        <v>89</v>
      </c>
      <c r="B90" s="2" t="s">
        <v>596</v>
      </c>
      <c r="C90" s="2">
        <v>2</v>
      </c>
      <c r="D90" s="2">
        <v>6</v>
      </c>
      <c r="E90" s="2">
        <v>18</v>
      </c>
      <c r="F90" s="6" t="s">
        <v>306</v>
      </c>
      <c r="G90" s="15">
        <v>80</v>
      </c>
      <c r="H90" s="271" t="s">
        <v>177</v>
      </c>
      <c r="I90" s="8"/>
      <c r="J90" s="59"/>
      <c r="K90" s="8" t="s">
        <v>37</v>
      </c>
      <c r="L90" s="59"/>
    </row>
    <row r="91" spans="1:12" x14ac:dyDescent="0.25">
      <c r="A91" s="2">
        <v>90</v>
      </c>
      <c r="B91" s="2" t="s">
        <v>597</v>
      </c>
      <c r="C91" s="2">
        <v>2</v>
      </c>
      <c r="D91" s="2">
        <v>6</v>
      </c>
      <c r="E91" s="2">
        <v>19</v>
      </c>
      <c r="F91" s="10" t="s">
        <v>8</v>
      </c>
      <c r="G91" s="15">
        <v>80</v>
      </c>
      <c r="H91" s="271" t="s">
        <v>177</v>
      </c>
      <c r="I91" s="8"/>
      <c r="J91" s="59"/>
      <c r="K91" s="8" t="s">
        <v>37</v>
      </c>
      <c r="L91" s="59"/>
    </row>
    <row r="92" spans="1:12" x14ac:dyDescent="0.25">
      <c r="A92" s="2">
        <v>91</v>
      </c>
      <c r="B92" s="2" t="s">
        <v>598</v>
      </c>
      <c r="C92" s="2">
        <v>2</v>
      </c>
      <c r="D92" s="2">
        <v>6</v>
      </c>
      <c r="E92" s="2">
        <v>20</v>
      </c>
      <c r="F92" s="6" t="s">
        <v>306</v>
      </c>
      <c r="G92" s="15">
        <v>80</v>
      </c>
      <c r="H92" s="271" t="s">
        <v>177</v>
      </c>
      <c r="I92" s="8"/>
      <c r="J92" s="59"/>
      <c r="K92" s="8" t="s">
        <v>37</v>
      </c>
      <c r="L92" s="59"/>
    </row>
    <row r="93" spans="1:12" x14ac:dyDescent="0.25">
      <c r="A93" s="2">
        <v>92</v>
      </c>
      <c r="B93" s="2" t="s">
        <v>599</v>
      </c>
      <c r="C93" s="2">
        <v>2</v>
      </c>
      <c r="D93" s="2">
        <v>6</v>
      </c>
      <c r="E93" s="2">
        <v>21</v>
      </c>
      <c r="F93" s="6" t="s">
        <v>306</v>
      </c>
      <c r="G93" s="15">
        <v>80</v>
      </c>
      <c r="H93" s="271" t="s">
        <v>177</v>
      </c>
      <c r="I93" s="8"/>
      <c r="J93" s="59"/>
      <c r="K93" s="8" t="s">
        <v>37</v>
      </c>
      <c r="L93" s="59"/>
    </row>
    <row r="94" spans="1:12" x14ac:dyDescent="0.25">
      <c r="A94" s="2">
        <v>93</v>
      </c>
      <c r="B94" s="2" t="s">
        <v>600</v>
      </c>
      <c r="C94" s="2">
        <v>2</v>
      </c>
      <c r="D94" s="2">
        <v>6</v>
      </c>
      <c r="E94" s="2">
        <v>22</v>
      </c>
      <c r="F94" s="10" t="s">
        <v>8</v>
      </c>
      <c r="G94" s="9">
        <v>82.236000000000004</v>
      </c>
      <c r="H94" s="271" t="s">
        <v>177</v>
      </c>
      <c r="I94" s="8"/>
      <c r="J94" s="59"/>
      <c r="K94" s="8" t="s">
        <v>37</v>
      </c>
      <c r="L94" s="59"/>
    </row>
    <row r="95" spans="1:12" x14ac:dyDescent="0.25">
      <c r="A95" s="2">
        <v>94</v>
      </c>
      <c r="B95" s="2" t="s">
        <v>601</v>
      </c>
      <c r="C95" s="13">
        <v>2</v>
      </c>
      <c r="D95" s="13">
        <v>7</v>
      </c>
      <c r="E95" s="13">
        <v>1</v>
      </c>
      <c r="F95" s="6" t="s">
        <v>306</v>
      </c>
      <c r="G95" s="15">
        <v>82.113</v>
      </c>
      <c r="H95" s="271" t="s">
        <v>177</v>
      </c>
      <c r="I95" s="8"/>
      <c r="J95" s="59"/>
      <c r="K95" s="8" t="s">
        <v>37</v>
      </c>
      <c r="L95" s="59"/>
    </row>
    <row r="96" spans="1:12" x14ac:dyDescent="0.25">
      <c r="A96" s="2">
        <v>95</v>
      </c>
      <c r="B96" s="2" t="s">
        <v>602</v>
      </c>
      <c r="C96" s="2">
        <v>2</v>
      </c>
      <c r="D96" s="2">
        <v>7</v>
      </c>
      <c r="E96" s="2">
        <v>2</v>
      </c>
      <c r="F96" s="6" t="s">
        <v>306</v>
      </c>
      <c r="G96" s="9">
        <v>80</v>
      </c>
      <c r="H96" s="271" t="s">
        <v>177</v>
      </c>
      <c r="I96" s="8"/>
      <c r="J96" s="59"/>
      <c r="K96" s="8" t="s">
        <v>37</v>
      </c>
      <c r="L96" s="59"/>
    </row>
    <row r="97" spans="1:12" x14ac:dyDescent="0.25">
      <c r="A97" s="2">
        <v>96</v>
      </c>
      <c r="B97" s="2" t="s">
        <v>603</v>
      </c>
      <c r="C97" s="2">
        <v>2</v>
      </c>
      <c r="D97" s="2">
        <v>7</v>
      </c>
      <c r="E97" s="2">
        <v>3</v>
      </c>
      <c r="F97" s="10" t="s">
        <v>8</v>
      </c>
      <c r="G97" s="9">
        <v>80</v>
      </c>
      <c r="H97" s="271" t="s">
        <v>177</v>
      </c>
      <c r="I97" s="8"/>
      <c r="J97" s="59"/>
      <c r="K97" s="8" t="s">
        <v>37</v>
      </c>
      <c r="L97" s="59"/>
    </row>
    <row r="98" spans="1:12" x14ac:dyDescent="0.25">
      <c r="A98" s="2">
        <v>97</v>
      </c>
      <c r="B98" s="2" t="s">
        <v>604</v>
      </c>
      <c r="C98" s="2">
        <v>2</v>
      </c>
      <c r="D98" s="2">
        <v>7</v>
      </c>
      <c r="E98" s="2">
        <v>4</v>
      </c>
      <c r="F98" s="6" t="s">
        <v>306</v>
      </c>
      <c r="G98" s="9">
        <v>80</v>
      </c>
      <c r="H98" s="271" t="s">
        <v>177</v>
      </c>
      <c r="I98" s="8"/>
      <c r="J98" s="59"/>
      <c r="K98" s="8" t="s">
        <v>37</v>
      </c>
      <c r="L98" s="59"/>
    </row>
    <row r="99" spans="1:12" x14ac:dyDescent="0.25">
      <c r="A99" s="2">
        <v>98</v>
      </c>
      <c r="B99" s="2" t="s">
        <v>605</v>
      </c>
      <c r="C99" s="2">
        <v>2</v>
      </c>
      <c r="D99" s="2">
        <v>7</v>
      </c>
      <c r="E99" s="2">
        <v>5</v>
      </c>
      <c r="F99" s="6" t="s">
        <v>306</v>
      </c>
      <c r="G99" s="9">
        <v>80</v>
      </c>
      <c r="H99" s="271" t="s">
        <v>177</v>
      </c>
      <c r="I99" s="8"/>
      <c r="J99" s="59"/>
      <c r="K99" s="8" t="s">
        <v>37</v>
      </c>
      <c r="L99" s="59"/>
    </row>
    <row r="100" spans="1:12" x14ac:dyDescent="0.25">
      <c r="A100" s="2">
        <v>99</v>
      </c>
      <c r="B100" s="2" t="s">
        <v>606</v>
      </c>
      <c r="C100" s="2">
        <v>2</v>
      </c>
      <c r="D100" s="2">
        <v>7</v>
      </c>
      <c r="E100" s="2">
        <v>6</v>
      </c>
      <c r="F100" s="10" t="s">
        <v>8</v>
      </c>
      <c r="G100" s="9">
        <v>80</v>
      </c>
      <c r="H100" s="271" t="s">
        <v>177</v>
      </c>
      <c r="I100" s="8"/>
      <c r="J100" s="59"/>
      <c r="K100" s="8" t="s">
        <v>37</v>
      </c>
      <c r="L100" s="59"/>
    </row>
    <row r="101" spans="1:12" x14ac:dyDescent="0.25">
      <c r="A101" s="2">
        <v>100</v>
      </c>
      <c r="B101" s="2" t="s">
        <v>607</v>
      </c>
      <c r="C101" s="2">
        <v>2</v>
      </c>
      <c r="D101" s="2">
        <v>7</v>
      </c>
      <c r="E101" s="2">
        <v>7</v>
      </c>
      <c r="F101" s="6" t="s">
        <v>306</v>
      </c>
      <c r="G101" s="9">
        <v>80</v>
      </c>
      <c r="H101" s="271" t="s">
        <v>177</v>
      </c>
      <c r="I101" s="8"/>
      <c r="J101" s="59"/>
      <c r="K101" s="8" t="s">
        <v>37</v>
      </c>
      <c r="L101" s="59"/>
    </row>
    <row r="102" spans="1:12" x14ac:dyDescent="0.25">
      <c r="A102" s="2">
        <v>101</v>
      </c>
      <c r="B102" s="2" t="s">
        <v>608</v>
      </c>
      <c r="C102" s="13">
        <v>2</v>
      </c>
      <c r="D102" s="13">
        <v>7</v>
      </c>
      <c r="E102" s="13">
        <v>8</v>
      </c>
      <c r="F102" s="6" t="s">
        <v>306</v>
      </c>
      <c r="G102" s="9">
        <v>80</v>
      </c>
      <c r="H102" s="271" t="s">
        <v>177</v>
      </c>
      <c r="I102" s="8"/>
      <c r="J102" s="59"/>
      <c r="K102" s="8" t="s">
        <v>37</v>
      </c>
      <c r="L102" s="59"/>
    </row>
    <row r="103" spans="1:12" x14ac:dyDescent="0.25">
      <c r="A103" s="2">
        <v>102</v>
      </c>
      <c r="B103" s="2" t="s">
        <v>609</v>
      </c>
      <c r="C103" s="2">
        <v>2</v>
      </c>
      <c r="D103" s="2">
        <v>7</v>
      </c>
      <c r="E103" s="2">
        <v>9</v>
      </c>
      <c r="F103" s="10" t="s">
        <v>8</v>
      </c>
      <c r="G103" s="9">
        <v>80</v>
      </c>
      <c r="H103" s="271" t="s">
        <v>177</v>
      </c>
      <c r="I103" s="8"/>
      <c r="J103" s="59"/>
      <c r="K103" s="8" t="s">
        <v>37</v>
      </c>
      <c r="L103" s="59"/>
    </row>
    <row r="104" spans="1:12" x14ac:dyDescent="0.25">
      <c r="A104" s="2">
        <v>103</v>
      </c>
      <c r="B104" s="2" t="s">
        <v>610</v>
      </c>
      <c r="C104" s="2">
        <v>2</v>
      </c>
      <c r="D104" s="2">
        <v>7</v>
      </c>
      <c r="E104" s="2">
        <v>10</v>
      </c>
      <c r="F104" s="6" t="s">
        <v>306</v>
      </c>
      <c r="G104" s="9">
        <v>80</v>
      </c>
      <c r="H104" s="271" t="s">
        <v>177</v>
      </c>
      <c r="I104" s="8"/>
      <c r="J104" s="59"/>
      <c r="K104" s="8" t="s">
        <v>37</v>
      </c>
      <c r="L104" s="59"/>
    </row>
    <row r="105" spans="1:12" x14ac:dyDescent="0.25">
      <c r="A105" s="2">
        <v>104</v>
      </c>
      <c r="B105" s="2" t="s">
        <v>611</v>
      </c>
      <c r="C105" s="2">
        <v>2</v>
      </c>
      <c r="D105" s="2">
        <v>7</v>
      </c>
      <c r="E105" s="2">
        <v>11</v>
      </c>
      <c r="F105" s="6" t="s">
        <v>306</v>
      </c>
      <c r="G105" s="9">
        <v>80</v>
      </c>
      <c r="H105" s="271" t="s">
        <v>177</v>
      </c>
      <c r="I105" s="8"/>
      <c r="J105" s="59"/>
      <c r="K105" s="8" t="s">
        <v>37</v>
      </c>
      <c r="L105" s="59"/>
    </row>
    <row r="106" spans="1:12" x14ac:dyDescent="0.25">
      <c r="A106" s="2">
        <v>105</v>
      </c>
      <c r="B106" s="2" t="s">
        <v>612</v>
      </c>
      <c r="C106" s="2">
        <v>2</v>
      </c>
      <c r="D106" s="2">
        <v>7</v>
      </c>
      <c r="E106" s="2">
        <v>12</v>
      </c>
      <c r="F106" s="10" t="s">
        <v>8</v>
      </c>
      <c r="G106" s="9">
        <v>80</v>
      </c>
      <c r="H106" s="271" t="s">
        <v>177</v>
      </c>
      <c r="I106" s="8"/>
      <c r="J106" s="59"/>
      <c r="K106" s="8" t="s">
        <v>37</v>
      </c>
      <c r="L106" s="59"/>
    </row>
    <row r="107" spans="1:12" x14ac:dyDescent="0.25">
      <c r="A107" s="2">
        <v>106</v>
      </c>
      <c r="B107" s="2" t="s">
        <v>613</v>
      </c>
      <c r="C107" s="2">
        <v>2</v>
      </c>
      <c r="D107" s="2">
        <v>7</v>
      </c>
      <c r="E107" s="2">
        <v>13</v>
      </c>
      <c r="F107" s="10" t="s">
        <v>8</v>
      </c>
      <c r="G107" s="9">
        <v>114.78100000000001</v>
      </c>
      <c r="H107" s="271" t="s">
        <v>177</v>
      </c>
      <c r="I107" s="8"/>
      <c r="J107" s="59"/>
      <c r="K107" s="8" t="s">
        <v>37</v>
      </c>
      <c r="L107" s="59"/>
    </row>
    <row r="108" spans="1:12" x14ac:dyDescent="0.25">
      <c r="A108" s="2">
        <v>107</v>
      </c>
      <c r="B108" s="2" t="s">
        <v>614</v>
      </c>
      <c r="C108" s="2">
        <v>2</v>
      </c>
      <c r="D108" s="2">
        <v>7</v>
      </c>
      <c r="E108" s="2">
        <v>14</v>
      </c>
      <c r="F108" s="6" t="s">
        <v>306</v>
      </c>
      <c r="G108" s="9">
        <v>80</v>
      </c>
      <c r="H108" s="271" t="s">
        <v>177</v>
      </c>
      <c r="I108" s="8"/>
      <c r="J108" s="59"/>
      <c r="K108" s="8" t="s">
        <v>37</v>
      </c>
      <c r="L108" s="59"/>
    </row>
    <row r="109" spans="1:12" x14ac:dyDescent="0.25">
      <c r="A109" s="2">
        <v>108</v>
      </c>
      <c r="B109" s="2" t="s">
        <v>615</v>
      </c>
      <c r="C109" s="13">
        <v>2</v>
      </c>
      <c r="D109" s="13">
        <v>7</v>
      </c>
      <c r="E109" s="13">
        <v>15</v>
      </c>
      <c r="F109" s="6" t="s">
        <v>306</v>
      </c>
      <c r="G109" s="15">
        <v>80</v>
      </c>
      <c r="H109" s="271" t="s">
        <v>177</v>
      </c>
      <c r="I109" s="8"/>
      <c r="J109" s="59"/>
      <c r="K109" s="8" t="s">
        <v>37</v>
      </c>
      <c r="L109" s="59"/>
    </row>
    <row r="110" spans="1:12" x14ac:dyDescent="0.25">
      <c r="A110" s="2">
        <v>109</v>
      </c>
      <c r="B110" s="2" t="s">
        <v>616</v>
      </c>
      <c r="C110" s="2">
        <v>2</v>
      </c>
      <c r="D110" s="2">
        <v>7</v>
      </c>
      <c r="E110" s="2">
        <v>16</v>
      </c>
      <c r="F110" s="10" t="s">
        <v>8</v>
      </c>
      <c r="G110" s="15">
        <v>80</v>
      </c>
      <c r="H110" s="271" t="s">
        <v>177</v>
      </c>
      <c r="I110" s="8"/>
      <c r="J110" s="59"/>
      <c r="K110" s="8" t="s">
        <v>37</v>
      </c>
      <c r="L110" s="59"/>
    </row>
    <row r="111" spans="1:12" x14ac:dyDescent="0.25">
      <c r="A111" s="2">
        <v>110</v>
      </c>
      <c r="B111" s="2" t="s">
        <v>617</v>
      </c>
      <c r="C111" s="2">
        <v>2</v>
      </c>
      <c r="D111" s="2">
        <v>7</v>
      </c>
      <c r="E111" s="2">
        <v>17</v>
      </c>
      <c r="F111" s="6" t="s">
        <v>306</v>
      </c>
      <c r="G111" s="15">
        <v>80</v>
      </c>
      <c r="H111" s="271" t="s">
        <v>177</v>
      </c>
      <c r="I111" s="8"/>
      <c r="J111" s="59"/>
      <c r="K111" s="8" t="s">
        <v>37</v>
      </c>
      <c r="L111" s="59"/>
    </row>
    <row r="112" spans="1:12" x14ac:dyDescent="0.25">
      <c r="A112" s="2">
        <v>111</v>
      </c>
      <c r="B112" s="2" t="s">
        <v>618</v>
      </c>
      <c r="C112" s="2">
        <v>2</v>
      </c>
      <c r="D112" s="2">
        <v>7</v>
      </c>
      <c r="E112" s="2">
        <v>18</v>
      </c>
      <c r="F112" s="6" t="s">
        <v>306</v>
      </c>
      <c r="G112" s="15">
        <v>80</v>
      </c>
      <c r="H112" s="271" t="s">
        <v>177</v>
      </c>
      <c r="I112" s="8"/>
      <c r="J112" s="59"/>
      <c r="K112" s="8" t="s">
        <v>37</v>
      </c>
      <c r="L112" s="59"/>
    </row>
    <row r="113" spans="1:12" x14ac:dyDescent="0.25">
      <c r="A113" s="2">
        <v>112</v>
      </c>
      <c r="B113" s="2" t="s">
        <v>619</v>
      </c>
      <c r="C113" s="2">
        <v>2</v>
      </c>
      <c r="D113" s="2">
        <v>7</v>
      </c>
      <c r="E113" s="2">
        <v>19</v>
      </c>
      <c r="F113" s="10" t="s">
        <v>8</v>
      </c>
      <c r="G113" s="15">
        <v>80</v>
      </c>
      <c r="H113" s="271" t="s">
        <v>177</v>
      </c>
      <c r="I113" s="8"/>
      <c r="J113" s="59"/>
      <c r="K113" s="8" t="s">
        <v>37</v>
      </c>
      <c r="L113" s="59"/>
    </row>
    <row r="114" spans="1:12" x14ac:dyDescent="0.25">
      <c r="A114" s="2">
        <v>113</v>
      </c>
      <c r="B114" s="2" t="s">
        <v>620</v>
      </c>
      <c r="C114" s="2">
        <v>2</v>
      </c>
      <c r="D114" s="2">
        <v>7</v>
      </c>
      <c r="E114" s="2">
        <v>20</v>
      </c>
      <c r="F114" s="6" t="s">
        <v>306</v>
      </c>
      <c r="G114" s="15">
        <v>80</v>
      </c>
      <c r="H114" s="271" t="s">
        <v>177</v>
      </c>
      <c r="I114" s="8"/>
      <c r="J114" s="59"/>
      <c r="K114" s="8" t="s">
        <v>37</v>
      </c>
      <c r="L114" s="59"/>
    </row>
    <row r="115" spans="1:12" x14ac:dyDescent="0.25">
      <c r="A115" s="2">
        <v>114</v>
      </c>
      <c r="B115" s="2" t="s">
        <v>621</v>
      </c>
      <c r="C115" s="2">
        <v>2</v>
      </c>
      <c r="D115" s="2">
        <v>7</v>
      </c>
      <c r="E115" s="2">
        <v>21</v>
      </c>
      <c r="F115" s="6" t="s">
        <v>306</v>
      </c>
      <c r="G115" s="15">
        <v>80</v>
      </c>
      <c r="H115" s="271" t="s">
        <v>177</v>
      </c>
      <c r="I115" s="8"/>
      <c r="J115" s="59"/>
      <c r="K115" s="8" t="s">
        <v>37</v>
      </c>
      <c r="L115" s="59"/>
    </row>
    <row r="116" spans="1:12" x14ac:dyDescent="0.25">
      <c r="A116" s="2">
        <v>115</v>
      </c>
      <c r="B116" s="2" t="s">
        <v>622</v>
      </c>
      <c r="C116" s="2">
        <v>2</v>
      </c>
      <c r="D116" s="2">
        <v>7</v>
      </c>
      <c r="E116" s="2">
        <v>22</v>
      </c>
      <c r="F116" s="10" t="s">
        <v>8</v>
      </c>
      <c r="G116" s="15">
        <v>80</v>
      </c>
      <c r="H116" s="271" t="s">
        <v>177</v>
      </c>
      <c r="I116" s="8"/>
      <c r="J116" s="59"/>
      <c r="K116" s="8" t="s">
        <v>37</v>
      </c>
      <c r="L116" s="59"/>
    </row>
    <row r="117" spans="1:12" x14ac:dyDescent="0.25">
      <c r="A117" s="2">
        <v>116</v>
      </c>
      <c r="B117" s="2" t="s">
        <v>623</v>
      </c>
      <c r="C117" s="2">
        <v>2</v>
      </c>
      <c r="D117" s="2">
        <v>7</v>
      </c>
      <c r="E117" s="2">
        <v>23</v>
      </c>
      <c r="F117" s="6" t="s">
        <v>306</v>
      </c>
      <c r="G117" s="15">
        <v>80</v>
      </c>
      <c r="H117" s="271" t="s">
        <v>177</v>
      </c>
      <c r="I117" s="8"/>
      <c r="J117" s="59"/>
      <c r="K117" s="8" t="s">
        <v>37</v>
      </c>
      <c r="L117" s="59"/>
    </row>
    <row r="118" spans="1:12" x14ac:dyDescent="0.25">
      <c r="A118" s="2">
        <v>117</v>
      </c>
      <c r="B118" s="2" t="s">
        <v>624</v>
      </c>
      <c r="C118" s="2">
        <v>2</v>
      </c>
      <c r="D118" s="2">
        <v>7</v>
      </c>
      <c r="E118" s="2">
        <v>24</v>
      </c>
      <c r="F118" s="6" t="s">
        <v>306</v>
      </c>
      <c r="G118" s="9">
        <v>81.927999999999997</v>
      </c>
      <c r="H118" s="271" t="s">
        <v>177</v>
      </c>
      <c r="I118" s="8"/>
      <c r="J118" s="59"/>
      <c r="K118" s="8" t="s">
        <v>37</v>
      </c>
      <c r="L118" s="59"/>
    </row>
    <row r="119" spans="1:12" x14ac:dyDescent="0.25">
      <c r="A119" s="2">
        <v>118</v>
      </c>
      <c r="B119" s="2" t="s">
        <v>625</v>
      </c>
      <c r="C119" s="2">
        <v>2</v>
      </c>
      <c r="D119" s="2">
        <v>8</v>
      </c>
      <c r="E119" s="2">
        <v>1</v>
      </c>
      <c r="F119" s="10" t="s">
        <v>8</v>
      </c>
      <c r="G119" s="9">
        <v>81.805000000000007</v>
      </c>
      <c r="H119" s="271" t="s">
        <v>177</v>
      </c>
      <c r="I119" s="8"/>
      <c r="J119" s="59"/>
      <c r="K119" s="8" t="s">
        <v>37</v>
      </c>
      <c r="L119" s="59"/>
    </row>
    <row r="120" spans="1:12" x14ac:dyDescent="0.25">
      <c r="A120" s="2">
        <v>119</v>
      </c>
      <c r="B120" s="2" t="s">
        <v>626</v>
      </c>
      <c r="C120" s="13">
        <v>2</v>
      </c>
      <c r="D120" s="13">
        <v>8</v>
      </c>
      <c r="E120" s="13">
        <v>2</v>
      </c>
      <c r="F120" s="6" t="s">
        <v>306</v>
      </c>
      <c r="G120" s="15">
        <v>80</v>
      </c>
      <c r="H120" s="271" t="s">
        <v>177</v>
      </c>
      <c r="I120" s="8"/>
      <c r="J120" s="59"/>
      <c r="K120" s="8" t="s">
        <v>37</v>
      </c>
      <c r="L120" s="59"/>
    </row>
    <row r="121" spans="1:12" x14ac:dyDescent="0.25">
      <c r="A121" s="2">
        <v>120</v>
      </c>
      <c r="B121" s="2" t="s">
        <v>627</v>
      </c>
      <c r="C121" s="2">
        <v>2</v>
      </c>
      <c r="D121" s="2">
        <v>8</v>
      </c>
      <c r="E121" s="2">
        <v>3</v>
      </c>
      <c r="F121" s="6" t="s">
        <v>306</v>
      </c>
      <c r="G121" s="15">
        <v>80</v>
      </c>
      <c r="H121" s="271" t="s">
        <v>177</v>
      </c>
      <c r="I121" s="8"/>
      <c r="J121" s="59"/>
      <c r="K121" s="8" t="s">
        <v>37</v>
      </c>
      <c r="L121" s="59"/>
    </row>
    <row r="122" spans="1:12" x14ac:dyDescent="0.25">
      <c r="A122" s="2">
        <v>121</v>
      </c>
      <c r="B122" s="2" t="s">
        <v>628</v>
      </c>
      <c r="C122" s="2">
        <v>2</v>
      </c>
      <c r="D122" s="2">
        <v>8</v>
      </c>
      <c r="E122" s="2">
        <v>4</v>
      </c>
      <c r="F122" s="10" t="s">
        <v>8</v>
      </c>
      <c r="G122" s="15">
        <v>80</v>
      </c>
      <c r="H122" s="271" t="s">
        <v>177</v>
      </c>
      <c r="I122" s="8"/>
      <c r="J122" s="59"/>
      <c r="K122" s="8" t="s">
        <v>37</v>
      </c>
      <c r="L122" s="59"/>
    </row>
    <row r="123" spans="1:12" x14ac:dyDescent="0.25">
      <c r="A123" s="2">
        <v>122</v>
      </c>
      <c r="B123" s="2" t="s">
        <v>629</v>
      </c>
      <c r="C123" s="13">
        <v>2</v>
      </c>
      <c r="D123" s="13">
        <v>8</v>
      </c>
      <c r="E123" s="13">
        <v>5</v>
      </c>
      <c r="F123" s="6" t="s">
        <v>306</v>
      </c>
      <c r="G123" s="15">
        <v>80</v>
      </c>
      <c r="H123" s="271" t="s">
        <v>177</v>
      </c>
      <c r="I123" s="8"/>
      <c r="J123" s="59"/>
      <c r="K123" s="8" t="s">
        <v>37</v>
      </c>
      <c r="L123" s="59"/>
    </row>
    <row r="124" spans="1:12" x14ac:dyDescent="0.25">
      <c r="A124" s="2">
        <v>123</v>
      </c>
      <c r="B124" s="2" t="s">
        <v>630</v>
      </c>
      <c r="C124" s="13">
        <v>2</v>
      </c>
      <c r="D124" s="13">
        <v>8</v>
      </c>
      <c r="E124" s="13">
        <v>6</v>
      </c>
      <c r="F124" s="6" t="s">
        <v>306</v>
      </c>
      <c r="G124" s="15">
        <v>80</v>
      </c>
      <c r="H124" s="271" t="s">
        <v>177</v>
      </c>
      <c r="I124" s="8"/>
      <c r="J124" s="59"/>
      <c r="K124" s="8" t="s">
        <v>37</v>
      </c>
      <c r="L124" s="59"/>
    </row>
    <row r="125" spans="1:12" x14ac:dyDescent="0.25">
      <c r="A125" s="2">
        <v>124</v>
      </c>
      <c r="B125" s="2" t="s">
        <v>631</v>
      </c>
      <c r="C125" s="13">
        <v>2</v>
      </c>
      <c r="D125" s="13">
        <v>8</v>
      </c>
      <c r="E125" s="13">
        <v>7</v>
      </c>
      <c r="F125" s="12" t="s">
        <v>8</v>
      </c>
      <c r="G125" s="15">
        <v>80</v>
      </c>
      <c r="H125" s="271" t="s">
        <v>177</v>
      </c>
      <c r="I125" s="8"/>
      <c r="J125" s="59"/>
      <c r="K125" s="8" t="s">
        <v>37</v>
      </c>
      <c r="L125" s="59"/>
    </row>
    <row r="126" spans="1:12" x14ac:dyDescent="0.25">
      <c r="A126" s="2">
        <v>125</v>
      </c>
      <c r="B126" s="2" t="s">
        <v>632</v>
      </c>
      <c r="C126" s="2">
        <v>2</v>
      </c>
      <c r="D126" s="2">
        <v>8</v>
      </c>
      <c r="E126" s="2">
        <v>8</v>
      </c>
      <c r="F126" s="6" t="s">
        <v>306</v>
      </c>
      <c r="G126" s="15">
        <v>80</v>
      </c>
      <c r="H126" s="271" t="s">
        <v>177</v>
      </c>
      <c r="I126" s="8"/>
      <c r="J126" s="59"/>
      <c r="K126" s="8" t="s">
        <v>37</v>
      </c>
      <c r="L126" s="59"/>
    </row>
    <row r="127" spans="1:12" x14ac:dyDescent="0.25">
      <c r="A127" s="2">
        <v>126</v>
      </c>
      <c r="B127" s="2" t="s">
        <v>633</v>
      </c>
      <c r="C127" s="2">
        <v>2</v>
      </c>
      <c r="D127" s="2">
        <v>8</v>
      </c>
      <c r="E127" s="2">
        <v>9</v>
      </c>
      <c r="F127" s="6" t="s">
        <v>306</v>
      </c>
      <c r="G127" s="9">
        <v>95.784999999999997</v>
      </c>
      <c r="H127" s="271" t="s">
        <v>177</v>
      </c>
      <c r="I127" s="8"/>
      <c r="J127" s="59"/>
      <c r="K127" s="8" t="s">
        <v>37</v>
      </c>
      <c r="L127" s="59"/>
    </row>
    <row r="128" spans="1:12" x14ac:dyDescent="0.25">
      <c r="A128" s="2">
        <v>127</v>
      </c>
      <c r="B128" s="2" t="s">
        <v>634</v>
      </c>
      <c r="C128" s="2">
        <v>2</v>
      </c>
      <c r="D128" s="2">
        <v>8</v>
      </c>
      <c r="E128" s="2">
        <v>10</v>
      </c>
      <c r="F128" s="6" t="s">
        <v>306</v>
      </c>
      <c r="G128" s="9">
        <v>88.542000000000002</v>
      </c>
      <c r="H128" s="271" t="s">
        <v>177</v>
      </c>
      <c r="I128" s="8"/>
      <c r="J128" s="59"/>
      <c r="K128" s="8" t="s">
        <v>37</v>
      </c>
      <c r="L128" s="59"/>
    </row>
    <row r="129" spans="1:12" x14ac:dyDescent="0.25">
      <c r="A129" s="2">
        <v>128</v>
      </c>
      <c r="B129" s="2" t="s">
        <v>635</v>
      </c>
      <c r="C129" s="2">
        <v>2</v>
      </c>
      <c r="D129" s="2">
        <v>8</v>
      </c>
      <c r="E129" s="2">
        <v>11</v>
      </c>
      <c r="F129" s="10" t="s">
        <v>8</v>
      </c>
      <c r="G129" s="9">
        <v>96.582999999999998</v>
      </c>
      <c r="H129" s="271" t="s">
        <v>177</v>
      </c>
      <c r="I129" s="8"/>
      <c r="J129" s="59"/>
      <c r="K129" s="8" t="s">
        <v>37</v>
      </c>
      <c r="L129" s="59"/>
    </row>
    <row r="130" spans="1:12" x14ac:dyDescent="0.25">
      <c r="A130" s="2">
        <v>129</v>
      </c>
      <c r="B130" s="2" t="s">
        <v>636</v>
      </c>
      <c r="C130" s="2">
        <v>2</v>
      </c>
      <c r="D130" s="2">
        <v>8</v>
      </c>
      <c r="E130" s="2">
        <v>12</v>
      </c>
      <c r="F130" s="6" t="s">
        <v>306</v>
      </c>
      <c r="G130" s="9">
        <v>80</v>
      </c>
      <c r="H130" s="271" t="s">
        <v>177</v>
      </c>
      <c r="I130" s="8"/>
      <c r="J130" s="59"/>
      <c r="K130" s="8" t="s">
        <v>37</v>
      </c>
      <c r="L130" s="59"/>
    </row>
    <row r="131" spans="1:12" x14ac:dyDescent="0.25">
      <c r="A131" s="2">
        <v>130</v>
      </c>
      <c r="B131" s="2" t="s">
        <v>637</v>
      </c>
      <c r="C131" s="2">
        <v>2</v>
      </c>
      <c r="D131" s="2">
        <v>8</v>
      </c>
      <c r="E131" s="2">
        <v>13</v>
      </c>
      <c r="F131" s="6" t="s">
        <v>306</v>
      </c>
      <c r="G131" s="9">
        <v>80</v>
      </c>
      <c r="H131" s="271" t="s">
        <v>177</v>
      </c>
      <c r="I131" s="8"/>
      <c r="J131" s="59"/>
      <c r="K131" s="8" t="s">
        <v>37</v>
      </c>
      <c r="L131" s="59"/>
    </row>
    <row r="132" spans="1:12" x14ac:dyDescent="0.25">
      <c r="A132" s="2">
        <v>131</v>
      </c>
      <c r="B132" s="2" t="s">
        <v>638</v>
      </c>
      <c r="C132" s="2">
        <v>2</v>
      </c>
      <c r="D132" s="2">
        <v>8</v>
      </c>
      <c r="E132" s="2">
        <v>14</v>
      </c>
      <c r="F132" s="10" t="s">
        <v>8</v>
      </c>
      <c r="G132" s="9">
        <v>80</v>
      </c>
      <c r="H132" s="271" t="s">
        <v>177</v>
      </c>
      <c r="I132" s="8"/>
      <c r="J132" s="59"/>
      <c r="K132" s="8" t="s">
        <v>37</v>
      </c>
      <c r="L132" s="59"/>
    </row>
    <row r="133" spans="1:12" x14ac:dyDescent="0.25">
      <c r="A133" s="2">
        <v>132</v>
      </c>
      <c r="B133" s="2" t="s">
        <v>639</v>
      </c>
      <c r="C133" s="2">
        <v>2</v>
      </c>
      <c r="D133" s="2">
        <v>8</v>
      </c>
      <c r="E133" s="2">
        <v>15</v>
      </c>
      <c r="F133" s="6" t="s">
        <v>306</v>
      </c>
      <c r="G133" s="9">
        <v>80</v>
      </c>
      <c r="H133" s="271" t="s">
        <v>177</v>
      </c>
      <c r="I133" s="8"/>
      <c r="J133" s="59"/>
      <c r="K133" s="8" t="s">
        <v>37</v>
      </c>
      <c r="L133" s="59"/>
    </row>
    <row r="134" spans="1:12" x14ac:dyDescent="0.25">
      <c r="A134" s="2">
        <v>133</v>
      </c>
      <c r="B134" s="2" t="s">
        <v>640</v>
      </c>
      <c r="C134" s="2">
        <v>2</v>
      </c>
      <c r="D134" s="2">
        <v>8</v>
      </c>
      <c r="E134" s="2">
        <v>16</v>
      </c>
      <c r="F134" s="6" t="s">
        <v>306</v>
      </c>
      <c r="G134" s="9">
        <v>80</v>
      </c>
      <c r="H134" s="271" t="s">
        <v>177</v>
      </c>
      <c r="I134" s="8"/>
      <c r="J134" s="59"/>
      <c r="K134" s="8" t="s">
        <v>37</v>
      </c>
      <c r="L134" s="59"/>
    </row>
    <row r="135" spans="1:12" x14ac:dyDescent="0.25">
      <c r="A135" s="2">
        <v>134</v>
      </c>
      <c r="B135" s="2" t="s">
        <v>641</v>
      </c>
      <c r="C135" s="2">
        <v>2</v>
      </c>
      <c r="D135" s="2">
        <v>8</v>
      </c>
      <c r="E135" s="2">
        <v>17</v>
      </c>
      <c r="F135" s="10" t="s">
        <v>8</v>
      </c>
      <c r="G135" s="9">
        <v>80</v>
      </c>
      <c r="H135" s="271" t="s">
        <v>177</v>
      </c>
      <c r="I135" s="8"/>
      <c r="J135" s="59"/>
      <c r="K135" s="8" t="s">
        <v>37</v>
      </c>
      <c r="L135" s="59"/>
    </row>
    <row r="136" spans="1:12" x14ac:dyDescent="0.25">
      <c r="A136" s="2">
        <v>135</v>
      </c>
      <c r="B136" s="2" t="s">
        <v>642</v>
      </c>
      <c r="C136" s="2">
        <v>2</v>
      </c>
      <c r="D136" s="2">
        <v>8</v>
      </c>
      <c r="E136" s="2">
        <v>18</v>
      </c>
      <c r="F136" s="6" t="s">
        <v>306</v>
      </c>
      <c r="G136" s="9">
        <v>80</v>
      </c>
      <c r="H136" s="271" t="s">
        <v>177</v>
      </c>
      <c r="I136" s="8"/>
      <c r="J136" s="59"/>
      <c r="K136" s="8" t="s">
        <v>37</v>
      </c>
      <c r="L136" s="59"/>
    </row>
    <row r="137" spans="1:12" x14ac:dyDescent="0.25">
      <c r="A137" s="2">
        <v>136</v>
      </c>
      <c r="B137" s="2" t="s">
        <v>643</v>
      </c>
      <c r="C137" s="2">
        <v>2</v>
      </c>
      <c r="D137" s="2">
        <v>8</v>
      </c>
      <c r="E137" s="2">
        <v>19</v>
      </c>
      <c r="F137" s="6" t="s">
        <v>306</v>
      </c>
      <c r="G137" s="9">
        <v>80</v>
      </c>
      <c r="H137" s="271" t="s">
        <v>177</v>
      </c>
      <c r="I137" s="8"/>
      <c r="J137" s="59"/>
      <c r="K137" s="8" t="s">
        <v>37</v>
      </c>
      <c r="L137" s="59"/>
    </row>
    <row r="138" spans="1:12" x14ac:dyDescent="0.25">
      <c r="A138" s="2">
        <v>137</v>
      </c>
      <c r="B138" s="2" t="s">
        <v>644</v>
      </c>
      <c r="C138" s="2">
        <v>2</v>
      </c>
      <c r="D138" s="2">
        <v>8</v>
      </c>
      <c r="E138" s="2">
        <v>20</v>
      </c>
      <c r="F138" s="10" t="s">
        <v>8</v>
      </c>
      <c r="G138" s="9">
        <v>81.62</v>
      </c>
      <c r="H138" s="271" t="s">
        <v>177</v>
      </c>
      <c r="I138" s="8"/>
      <c r="J138" s="59"/>
      <c r="K138" s="8" t="s">
        <v>37</v>
      </c>
      <c r="L138" s="59"/>
    </row>
    <row r="139" spans="1:12" x14ac:dyDescent="0.25">
      <c r="A139" s="2">
        <v>138</v>
      </c>
      <c r="B139" s="2" t="s">
        <v>645</v>
      </c>
      <c r="C139" s="2">
        <v>2</v>
      </c>
      <c r="D139" s="2">
        <v>9</v>
      </c>
      <c r="E139" s="2">
        <v>1</v>
      </c>
      <c r="F139" s="10" t="s">
        <v>8</v>
      </c>
      <c r="G139" s="9">
        <v>81.495999999999995</v>
      </c>
      <c r="H139" s="271" t="s">
        <v>176</v>
      </c>
      <c r="I139" s="8" t="s">
        <v>145</v>
      </c>
      <c r="J139" s="59" t="s">
        <v>79</v>
      </c>
      <c r="K139" s="8" t="s">
        <v>40</v>
      </c>
      <c r="L139" s="59" t="s">
        <v>171</v>
      </c>
    </row>
    <row r="140" spans="1:12" x14ac:dyDescent="0.25">
      <c r="A140" s="2">
        <v>139</v>
      </c>
      <c r="B140" s="2" t="s">
        <v>646</v>
      </c>
      <c r="C140" s="2">
        <v>2</v>
      </c>
      <c r="D140" s="2">
        <v>9</v>
      </c>
      <c r="E140" s="2">
        <v>2</v>
      </c>
      <c r="F140" s="6" t="s">
        <v>306</v>
      </c>
      <c r="G140" s="9">
        <v>80</v>
      </c>
      <c r="H140" s="271" t="s">
        <v>176</v>
      </c>
      <c r="I140" s="8" t="s">
        <v>146</v>
      </c>
      <c r="J140" s="59" t="s">
        <v>85</v>
      </c>
      <c r="K140" s="8" t="s">
        <v>67</v>
      </c>
      <c r="L140" s="59" t="s">
        <v>173</v>
      </c>
    </row>
    <row r="141" spans="1:12" x14ac:dyDescent="0.25">
      <c r="A141" s="2">
        <v>140</v>
      </c>
      <c r="B141" s="2" t="s">
        <v>647</v>
      </c>
      <c r="C141" s="2">
        <v>2</v>
      </c>
      <c r="D141" s="2">
        <v>9</v>
      </c>
      <c r="E141" s="2">
        <v>3</v>
      </c>
      <c r="F141" s="6" t="s">
        <v>306</v>
      </c>
      <c r="G141" s="9">
        <v>80</v>
      </c>
      <c r="H141" s="271" t="s">
        <v>176</v>
      </c>
      <c r="I141" s="8"/>
      <c r="J141" s="59"/>
      <c r="K141" s="8" t="s">
        <v>37</v>
      </c>
      <c r="L141" s="59"/>
    </row>
    <row r="142" spans="1:12" x14ac:dyDescent="0.25">
      <c r="A142" s="2">
        <v>141</v>
      </c>
      <c r="B142" s="2" t="s">
        <v>648</v>
      </c>
      <c r="C142" s="2">
        <v>2</v>
      </c>
      <c r="D142" s="2">
        <v>9</v>
      </c>
      <c r="E142" s="2">
        <v>4</v>
      </c>
      <c r="F142" s="10" t="s">
        <v>8</v>
      </c>
      <c r="G142" s="9">
        <v>80</v>
      </c>
      <c r="H142" s="271" t="s">
        <v>176</v>
      </c>
      <c r="I142" s="8"/>
      <c r="J142" s="59"/>
      <c r="K142" s="8" t="s">
        <v>37</v>
      </c>
      <c r="L142" s="59"/>
    </row>
    <row r="143" spans="1:12" x14ac:dyDescent="0.25">
      <c r="A143" s="2">
        <v>142</v>
      </c>
      <c r="B143" s="2" t="s">
        <v>649</v>
      </c>
      <c r="C143" s="2">
        <v>2</v>
      </c>
      <c r="D143" s="2">
        <v>9</v>
      </c>
      <c r="E143" s="2">
        <v>5</v>
      </c>
      <c r="F143" s="6" t="s">
        <v>306</v>
      </c>
      <c r="G143" s="9">
        <v>80</v>
      </c>
      <c r="H143" s="271" t="s">
        <v>176</v>
      </c>
      <c r="I143" s="55" t="s">
        <v>121</v>
      </c>
      <c r="J143" s="59" t="s">
        <v>84</v>
      </c>
      <c r="K143" s="8" t="s">
        <v>36</v>
      </c>
      <c r="L143" s="59" t="s">
        <v>173</v>
      </c>
    </row>
    <row r="144" spans="1:12" x14ac:dyDescent="0.25">
      <c r="A144" s="2">
        <v>143</v>
      </c>
      <c r="B144" s="2" t="s">
        <v>650</v>
      </c>
      <c r="C144" s="2">
        <v>2</v>
      </c>
      <c r="D144" s="2">
        <v>9</v>
      </c>
      <c r="E144" s="2">
        <v>6</v>
      </c>
      <c r="F144" s="6" t="s">
        <v>306</v>
      </c>
      <c r="G144" s="9">
        <v>80</v>
      </c>
      <c r="H144" s="271" t="s">
        <v>176</v>
      </c>
      <c r="I144" s="55" t="s">
        <v>122</v>
      </c>
      <c r="J144" s="59" t="s">
        <v>80</v>
      </c>
      <c r="K144" s="8" t="s">
        <v>65</v>
      </c>
      <c r="L144" s="59" t="s">
        <v>173</v>
      </c>
    </row>
    <row r="145" spans="1:12" x14ac:dyDescent="0.25">
      <c r="A145" s="2">
        <v>144</v>
      </c>
      <c r="B145" s="2" t="s">
        <v>651</v>
      </c>
      <c r="C145" s="2">
        <v>2</v>
      </c>
      <c r="D145" s="2">
        <v>9</v>
      </c>
      <c r="E145" s="2">
        <v>7</v>
      </c>
      <c r="F145" s="10" t="s">
        <v>8</v>
      </c>
      <c r="G145" s="9">
        <v>80</v>
      </c>
      <c r="H145" s="271" t="s">
        <v>176</v>
      </c>
      <c r="I145" s="55" t="s">
        <v>126</v>
      </c>
      <c r="J145" s="59" t="s">
        <v>81</v>
      </c>
      <c r="K145" s="8" t="s">
        <v>65</v>
      </c>
      <c r="L145" s="59" t="s">
        <v>173</v>
      </c>
    </row>
    <row r="146" spans="1:12" x14ac:dyDescent="0.25">
      <c r="A146" s="2">
        <v>145</v>
      </c>
      <c r="B146" s="2" t="s">
        <v>652</v>
      </c>
      <c r="C146" s="2">
        <v>2</v>
      </c>
      <c r="D146" s="2">
        <v>9</v>
      </c>
      <c r="E146" s="2">
        <v>8</v>
      </c>
      <c r="F146" s="6" t="s">
        <v>306</v>
      </c>
      <c r="G146" s="9">
        <v>80</v>
      </c>
      <c r="H146" s="271" t="s">
        <v>176</v>
      </c>
      <c r="I146" s="55" t="s">
        <v>127</v>
      </c>
      <c r="J146" s="59" t="s">
        <v>80</v>
      </c>
      <c r="K146" s="8" t="s">
        <v>36</v>
      </c>
      <c r="L146" s="59" t="s">
        <v>173</v>
      </c>
    </row>
    <row r="147" spans="1:12" x14ac:dyDescent="0.25">
      <c r="A147" s="2">
        <v>146</v>
      </c>
      <c r="B147" s="2" t="s">
        <v>653</v>
      </c>
      <c r="C147" s="2">
        <v>2</v>
      </c>
      <c r="D147" s="2">
        <v>9</v>
      </c>
      <c r="E147" s="2">
        <v>9</v>
      </c>
      <c r="F147" s="10" t="s">
        <v>8</v>
      </c>
      <c r="G147" s="9">
        <v>80</v>
      </c>
      <c r="H147" s="271" t="s">
        <v>177</v>
      </c>
      <c r="I147" s="8"/>
      <c r="J147" s="59"/>
      <c r="K147" s="8" t="s">
        <v>37</v>
      </c>
      <c r="L147" s="59"/>
    </row>
    <row r="148" spans="1:12" x14ac:dyDescent="0.25">
      <c r="A148" s="2">
        <v>147</v>
      </c>
      <c r="B148" s="2" t="s">
        <v>654</v>
      </c>
      <c r="C148" s="2">
        <v>2</v>
      </c>
      <c r="D148" s="2">
        <v>9</v>
      </c>
      <c r="E148" s="2">
        <v>10</v>
      </c>
      <c r="F148" s="6" t="s">
        <v>306</v>
      </c>
      <c r="G148" s="9">
        <v>80</v>
      </c>
      <c r="H148" s="271" t="s">
        <v>177</v>
      </c>
      <c r="I148" s="8"/>
      <c r="J148" s="59"/>
      <c r="K148" s="8" t="s">
        <v>37</v>
      </c>
      <c r="L148" s="59"/>
    </row>
    <row r="149" spans="1:12" x14ac:dyDescent="0.25">
      <c r="A149" s="2">
        <v>148</v>
      </c>
      <c r="B149" s="2" t="s">
        <v>655</v>
      </c>
      <c r="C149" s="2">
        <v>2</v>
      </c>
      <c r="D149" s="2">
        <v>9</v>
      </c>
      <c r="E149" s="2">
        <v>11</v>
      </c>
      <c r="F149" s="6" t="s">
        <v>306</v>
      </c>
      <c r="G149" s="9">
        <v>80</v>
      </c>
      <c r="H149" s="271" t="s">
        <v>177</v>
      </c>
      <c r="I149" s="8"/>
      <c r="J149" s="59"/>
      <c r="K149" s="8" t="s">
        <v>37</v>
      </c>
      <c r="L149" s="59"/>
    </row>
    <row r="150" spans="1:12" x14ac:dyDescent="0.25">
      <c r="A150" s="2">
        <v>149</v>
      </c>
      <c r="B150" s="2" t="s">
        <v>656</v>
      </c>
      <c r="C150" s="2">
        <v>2</v>
      </c>
      <c r="D150" s="2">
        <v>9</v>
      </c>
      <c r="E150" s="2">
        <v>12</v>
      </c>
      <c r="F150" s="10" t="s">
        <v>8</v>
      </c>
      <c r="G150" s="9">
        <v>80</v>
      </c>
      <c r="H150" s="271" t="s">
        <v>177</v>
      </c>
      <c r="I150" s="8"/>
      <c r="J150" s="59"/>
      <c r="K150" s="8" t="s">
        <v>37</v>
      </c>
      <c r="L150" s="59"/>
    </row>
    <row r="151" spans="1:12" x14ac:dyDescent="0.25">
      <c r="A151" s="2">
        <v>150</v>
      </c>
      <c r="B151" s="2" t="s">
        <v>657</v>
      </c>
      <c r="C151" s="2">
        <v>2</v>
      </c>
      <c r="D151" s="2">
        <v>9</v>
      </c>
      <c r="E151" s="2">
        <v>13</v>
      </c>
      <c r="F151" s="6" t="s">
        <v>306</v>
      </c>
      <c r="G151" s="9">
        <v>80</v>
      </c>
      <c r="H151" s="271" t="s">
        <v>176</v>
      </c>
      <c r="I151" s="55" t="s">
        <v>128</v>
      </c>
      <c r="J151" s="59" t="s">
        <v>83</v>
      </c>
      <c r="K151" s="8" t="s">
        <v>65</v>
      </c>
      <c r="L151" s="59" t="s">
        <v>174</v>
      </c>
    </row>
    <row r="152" spans="1:12" x14ac:dyDescent="0.25">
      <c r="A152" s="2">
        <v>151</v>
      </c>
      <c r="B152" s="2" t="s">
        <v>658</v>
      </c>
      <c r="C152" s="2">
        <v>2</v>
      </c>
      <c r="D152" s="2">
        <v>9</v>
      </c>
      <c r="E152" s="2">
        <v>14</v>
      </c>
      <c r="F152" s="6" t="s">
        <v>306</v>
      </c>
      <c r="G152" s="9">
        <v>80</v>
      </c>
      <c r="H152" s="271" t="s">
        <v>176</v>
      </c>
      <c r="I152" s="55" t="s">
        <v>129</v>
      </c>
      <c r="J152" s="59" t="s">
        <v>82</v>
      </c>
      <c r="K152" s="8" t="s">
        <v>66</v>
      </c>
      <c r="L152" s="59" t="s">
        <v>174</v>
      </c>
    </row>
    <row r="153" spans="1:12" x14ac:dyDescent="0.25">
      <c r="A153" s="2">
        <v>152</v>
      </c>
      <c r="B153" s="2" t="s">
        <v>659</v>
      </c>
      <c r="C153" s="2">
        <v>2</v>
      </c>
      <c r="D153" s="2">
        <v>9</v>
      </c>
      <c r="E153" s="2">
        <v>15</v>
      </c>
      <c r="F153" s="10" t="s">
        <v>8</v>
      </c>
      <c r="G153" s="9">
        <v>81.311000000000007</v>
      </c>
      <c r="H153" s="271" t="s">
        <v>176</v>
      </c>
      <c r="I153" s="55" t="s">
        <v>130</v>
      </c>
      <c r="J153" s="59" t="s">
        <v>85</v>
      </c>
      <c r="K153" s="8" t="s">
        <v>66</v>
      </c>
      <c r="L153" s="59" t="s">
        <v>174</v>
      </c>
    </row>
    <row r="154" spans="1:12" x14ac:dyDescent="0.25">
      <c r="A154" s="2">
        <v>153</v>
      </c>
      <c r="B154" s="2" t="s">
        <v>660</v>
      </c>
      <c r="C154" s="2">
        <v>2</v>
      </c>
      <c r="D154" s="2">
        <v>10</v>
      </c>
      <c r="E154" s="2">
        <v>1</v>
      </c>
      <c r="F154" s="10" t="s">
        <v>8</v>
      </c>
      <c r="G154" s="9">
        <v>81.188000000000002</v>
      </c>
      <c r="H154" s="271" t="s">
        <v>177</v>
      </c>
      <c r="I154" s="8"/>
      <c r="J154" s="59"/>
      <c r="K154" s="8" t="s">
        <v>37</v>
      </c>
      <c r="L154" s="59"/>
    </row>
    <row r="155" spans="1:12" x14ac:dyDescent="0.25">
      <c r="A155" s="2">
        <v>154</v>
      </c>
      <c r="B155" s="2" t="s">
        <v>661</v>
      </c>
      <c r="C155" s="2">
        <v>2</v>
      </c>
      <c r="D155" s="2">
        <v>10</v>
      </c>
      <c r="E155" s="2">
        <v>2</v>
      </c>
      <c r="F155" s="6" t="s">
        <v>306</v>
      </c>
      <c r="G155" s="9">
        <v>80</v>
      </c>
      <c r="H155" s="271" t="s">
        <v>177</v>
      </c>
      <c r="I155" s="8"/>
      <c r="J155" s="59"/>
      <c r="K155" s="8" t="s">
        <v>37</v>
      </c>
      <c r="L155" s="59"/>
    </row>
    <row r="156" spans="1:12" x14ac:dyDescent="0.25">
      <c r="A156" s="2">
        <v>155</v>
      </c>
      <c r="B156" s="2" t="s">
        <v>662</v>
      </c>
      <c r="C156" s="2">
        <v>2</v>
      </c>
      <c r="D156" s="2">
        <v>10</v>
      </c>
      <c r="E156" s="2">
        <v>3</v>
      </c>
      <c r="F156" s="6" t="s">
        <v>306</v>
      </c>
      <c r="G156" s="9">
        <v>80</v>
      </c>
      <c r="H156" s="271" t="s">
        <v>177</v>
      </c>
      <c r="I156" s="8"/>
      <c r="J156" s="59"/>
      <c r="K156" s="8" t="s">
        <v>37</v>
      </c>
      <c r="L156" s="59"/>
    </row>
    <row r="157" spans="1:12" x14ac:dyDescent="0.25">
      <c r="A157" s="2">
        <v>156</v>
      </c>
      <c r="B157" s="2" t="s">
        <v>663</v>
      </c>
      <c r="C157" s="2">
        <v>2</v>
      </c>
      <c r="D157" s="2">
        <v>10</v>
      </c>
      <c r="E157" s="2">
        <v>4</v>
      </c>
      <c r="F157" s="10" t="s">
        <v>8</v>
      </c>
      <c r="G157" s="9">
        <v>80</v>
      </c>
      <c r="H157" s="271" t="s">
        <v>177</v>
      </c>
      <c r="I157" s="8"/>
      <c r="J157" s="59"/>
      <c r="K157" s="8" t="s">
        <v>37</v>
      </c>
      <c r="L157" s="59"/>
    </row>
    <row r="158" spans="1:12" x14ac:dyDescent="0.25">
      <c r="A158" s="2">
        <v>157</v>
      </c>
      <c r="B158" s="2" t="s">
        <v>664</v>
      </c>
      <c r="C158" s="2">
        <v>2</v>
      </c>
      <c r="D158" s="2">
        <v>10</v>
      </c>
      <c r="E158" s="2">
        <v>5</v>
      </c>
      <c r="F158" s="6" t="s">
        <v>306</v>
      </c>
      <c r="G158" s="9">
        <v>80</v>
      </c>
      <c r="H158" s="271" t="s">
        <v>177</v>
      </c>
      <c r="I158" s="8"/>
      <c r="J158" s="59"/>
      <c r="K158" s="8" t="s">
        <v>37</v>
      </c>
      <c r="L158" s="59"/>
    </row>
    <row r="159" spans="1:12" x14ac:dyDescent="0.25">
      <c r="A159" s="2">
        <v>158</v>
      </c>
      <c r="B159" s="2" t="s">
        <v>665</v>
      </c>
      <c r="C159" s="2">
        <v>2</v>
      </c>
      <c r="D159" s="2">
        <v>10</v>
      </c>
      <c r="E159" s="2">
        <v>6</v>
      </c>
      <c r="F159" s="6" t="s">
        <v>306</v>
      </c>
      <c r="G159" s="9">
        <v>80</v>
      </c>
      <c r="H159" s="271" t="s">
        <v>177</v>
      </c>
      <c r="I159" s="8"/>
      <c r="J159" s="59"/>
      <c r="K159" s="8" t="s">
        <v>37</v>
      </c>
      <c r="L159" s="59"/>
    </row>
    <row r="160" spans="1:12" x14ac:dyDescent="0.25">
      <c r="A160" s="2">
        <v>159</v>
      </c>
      <c r="B160" s="2" t="s">
        <v>666</v>
      </c>
      <c r="C160" s="13">
        <v>2</v>
      </c>
      <c r="D160" s="13">
        <v>10</v>
      </c>
      <c r="E160" s="13">
        <v>7</v>
      </c>
      <c r="F160" s="12" t="s">
        <v>8</v>
      </c>
      <c r="G160" s="15">
        <v>111.129</v>
      </c>
      <c r="H160" s="271" t="s">
        <v>177</v>
      </c>
      <c r="I160" s="8"/>
      <c r="J160" s="59"/>
      <c r="K160" s="8" t="s">
        <v>37</v>
      </c>
      <c r="L160" s="59"/>
    </row>
    <row r="161" spans="1:12" x14ac:dyDescent="0.25">
      <c r="A161" s="2">
        <v>160</v>
      </c>
      <c r="B161" s="2" t="s">
        <v>667</v>
      </c>
      <c r="C161" s="2">
        <v>2</v>
      </c>
      <c r="D161" s="2">
        <v>10</v>
      </c>
      <c r="E161" s="2">
        <v>8</v>
      </c>
      <c r="F161" s="6" t="s">
        <v>306</v>
      </c>
      <c r="G161" s="9">
        <v>86.584999999999994</v>
      </c>
      <c r="H161" s="271" t="s">
        <v>177</v>
      </c>
      <c r="I161" s="8"/>
      <c r="J161" s="59"/>
      <c r="K161" s="8" t="s">
        <v>37</v>
      </c>
      <c r="L161" s="59"/>
    </row>
    <row r="162" spans="1:12" x14ac:dyDescent="0.25">
      <c r="A162" s="2">
        <v>161</v>
      </c>
      <c r="B162" s="2" t="s">
        <v>668</v>
      </c>
      <c r="C162" s="2">
        <v>2</v>
      </c>
      <c r="D162" s="2">
        <v>10</v>
      </c>
      <c r="E162" s="2">
        <v>9</v>
      </c>
      <c r="F162" s="6" t="s">
        <v>306</v>
      </c>
      <c r="G162" s="9">
        <v>80.855000000000004</v>
      </c>
      <c r="H162" s="271" t="s">
        <v>177</v>
      </c>
      <c r="I162" s="8"/>
      <c r="J162" s="59"/>
      <c r="K162" s="8" t="s">
        <v>37</v>
      </c>
      <c r="L162" s="59"/>
    </row>
    <row r="163" spans="1:12" x14ac:dyDescent="0.25">
      <c r="A163" s="2">
        <v>162</v>
      </c>
      <c r="B163" s="2" t="s">
        <v>669</v>
      </c>
      <c r="C163" s="2">
        <v>2</v>
      </c>
      <c r="D163" s="2">
        <v>10</v>
      </c>
      <c r="E163" s="2">
        <v>10</v>
      </c>
      <c r="F163" s="6" t="s">
        <v>306</v>
      </c>
      <c r="G163" s="9">
        <v>80.004999999999995</v>
      </c>
      <c r="H163" s="271" t="s">
        <v>177</v>
      </c>
      <c r="I163" s="8"/>
      <c r="J163" s="59"/>
      <c r="K163" s="8" t="s">
        <v>37</v>
      </c>
      <c r="L163" s="59"/>
    </row>
    <row r="164" spans="1:12" x14ac:dyDescent="0.25">
      <c r="A164" s="2">
        <v>163</v>
      </c>
      <c r="B164" s="2" t="s">
        <v>670</v>
      </c>
      <c r="C164" s="13">
        <v>2</v>
      </c>
      <c r="D164" s="13">
        <v>10</v>
      </c>
      <c r="E164" s="13">
        <v>11</v>
      </c>
      <c r="F164" s="12" t="s">
        <v>8</v>
      </c>
      <c r="G164" s="15">
        <v>81.004999999999995</v>
      </c>
      <c r="H164" s="271" t="s">
        <v>177</v>
      </c>
      <c r="I164" s="8"/>
      <c r="J164" s="59"/>
      <c r="K164" s="8" t="s">
        <v>37</v>
      </c>
      <c r="L164" s="59"/>
    </row>
    <row r="165" spans="1:12" x14ac:dyDescent="0.25">
      <c r="A165" s="2">
        <v>164</v>
      </c>
      <c r="B165" s="2" t="s">
        <v>671</v>
      </c>
      <c r="C165" s="2">
        <v>3</v>
      </c>
      <c r="D165" s="2">
        <v>1</v>
      </c>
      <c r="E165" s="2">
        <v>1</v>
      </c>
      <c r="F165" s="10" t="s">
        <v>8</v>
      </c>
      <c r="G165" s="9">
        <v>287.90100000000001</v>
      </c>
      <c r="H165" s="271" t="s">
        <v>176</v>
      </c>
      <c r="I165" s="55" t="s">
        <v>131</v>
      </c>
      <c r="J165" s="59" t="s">
        <v>79</v>
      </c>
      <c r="K165" s="8" t="s">
        <v>40</v>
      </c>
      <c r="L165" s="59" t="s">
        <v>174</v>
      </c>
    </row>
    <row r="166" spans="1:12" x14ac:dyDescent="0.25">
      <c r="A166" s="2">
        <v>165</v>
      </c>
      <c r="B166" s="2" t="s">
        <v>672</v>
      </c>
      <c r="C166" s="2">
        <v>3</v>
      </c>
      <c r="D166" s="2">
        <v>1</v>
      </c>
      <c r="E166" s="2">
        <v>2</v>
      </c>
      <c r="F166" s="6" t="s">
        <v>306</v>
      </c>
      <c r="G166" s="9">
        <v>82.712999999999994</v>
      </c>
      <c r="H166" s="271" t="s">
        <v>176</v>
      </c>
      <c r="I166" s="55" t="s">
        <v>132</v>
      </c>
      <c r="J166" s="59" t="s">
        <v>79</v>
      </c>
      <c r="K166" s="8" t="s">
        <v>66</v>
      </c>
      <c r="L166" s="59" t="s">
        <v>175</v>
      </c>
    </row>
    <row r="167" spans="1:12" x14ac:dyDescent="0.25">
      <c r="A167" s="2">
        <v>166</v>
      </c>
      <c r="B167" s="2" t="s">
        <v>673</v>
      </c>
      <c r="C167" s="2">
        <v>3</v>
      </c>
      <c r="D167" s="2">
        <v>1</v>
      </c>
      <c r="E167" s="2">
        <v>3</v>
      </c>
      <c r="F167" s="6" t="s">
        <v>306</v>
      </c>
      <c r="G167" s="9">
        <v>87.340999999999994</v>
      </c>
      <c r="H167" s="271" t="s">
        <v>176</v>
      </c>
      <c r="I167" s="55" t="s">
        <v>133</v>
      </c>
      <c r="J167" s="59" t="s">
        <v>79</v>
      </c>
      <c r="K167" s="8" t="s">
        <v>36</v>
      </c>
      <c r="L167" s="59" t="s">
        <v>175</v>
      </c>
    </row>
    <row r="168" spans="1:12" x14ac:dyDescent="0.25">
      <c r="A168" s="2">
        <v>167</v>
      </c>
      <c r="B168" s="2" t="s">
        <v>674</v>
      </c>
      <c r="C168" s="2">
        <v>3</v>
      </c>
      <c r="D168" s="2">
        <v>1</v>
      </c>
      <c r="E168" s="2">
        <v>4</v>
      </c>
      <c r="F168" s="10" t="s">
        <v>8</v>
      </c>
      <c r="G168" s="9">
        <v>97.638000000000005</v>
      </c>
      <c r="H168" s="271" t="s">
        <v>176</v>
      </c>
      <c r="I168" s="8"/>
      <c r="J168" s="59"/>
      <c r="K168" s="8" t="s">
        <v>37</v>
      </c>
      <c r="L168" s="59"/>
    </row>
    <row r="169" spans="1:12" x14ac:dyDescent="0.25">
      <c r="A169" s="2">
        <v>168</v>
      </c>
      <c r="B169" s="2" t="s">
        <v>675</v>
      </c>
      <c r="C169" s="2">
        <v>3</v>
      </c>
      <c r="D169" s="2">
        <v>1</v>
      </c>
      <c r="E169" s="2">
        <v>5</v>
      </c>
      <c r="F169" s="6" t="s">
        <v>306</v>
      </c>
      <c r="G169" s="9">
        <v>105.361</v>
      </c>
      <c r="H169" s="271" t="s">
        <v>176</v>
      </c>
      <c r="I169" s="8"/>
      <c r="J169" s="59"/>
      <c r="K169" s="8" t="s">
        <v>37</v>
      </c>
      <c r="L169" s="59"/>
    </row>
    <row r="170" spans="1:12" x14ac:dyDescent="0.25">
      <c r="A170" s="2">
        <v>169</v>
      </c>
      <c r="B170" s="2" t="s">
        <v>676</v>
      </c>
      <c r="C170" s="2">
        <v>3</v>
      </c>
      <c r="D170" s="2">
        <v>2</v>
      </c>
      <c r="E170" s="2">
        <v>1</v>
      </c>
      <c r="F170" s="10" t="s">
        <v>8</v>
      </c>
      <c r="G170" s="9">
        <v>150.715</v>
      </c>
      <c r="H170" s="271" t="s">
        <v>176</v>
      </c>
      <c r="I170" s="8"/>
      <c r="J170" s="59"/>
      <c r="K170" s="8" t="s">
        <v>37</v>
      </c>
      <c r="L170" s="59"/>
    </row>
    <row r="171" spans="1:12" x14ac:dyDescent="0.25">
      <c r="A171" s="2">
        <v>170</v>
      </c>
      <c r="B171" s="2" t="s">
        <v>677</v>
      </c>
      <c r="C171" s="13">
        <v>3</v>
      </c>
      <c r="D171" s="13">
        <v>2</v>
      </c>
      <c r="E171" s="13">
        <v>2</v>
      </c>
      <c r="F171" s="6" t="s">
        <v>306</v>
      </c>
      <c r="G171" s="15">
        <v>84.649000000000001</v>
      </c>
      <c r="H171" s="271" t="s">
        <v>176</v>
      </c>
      <c r="I171" s="8"/>
      <c r="J171" s="59"/>
      <c r="K171" s="8" t="s">
        <v>37</v>
      </c>
      <c r="L171" s="59"/>
    </row>
    <row r="172" spans="1:12" x14ac:dyDescent="0.25">
      <c r="A172" s="2">
        <v>171</v>
      </c>
      <c r="B172" s="2" t="s">
        <v>678</v>
      </c>
      <c r="C172" s="2">
        <v>3</v>
      </c>
      <c r="D172" s="2">
        <v>2</v>
      </c>
      <c r="E172" s="2">
        <v>3</v>
      </c>
      <c r="F172" s="6" t="s">
        <v>306</v>
      </c>
      <c r="G172" s="9">
        <v>81.147000000000006</v>
      </c>
      <c r="H172" s="271" t="s">
        <v>176</v>
      </c>
      <c r="I172" s="8"/>
      <c r="J172" s="59"/>
      <c r="K172" s="8" t="s">
        <v>37</v>
      </c>
      <c r="L172" s="59"/>
    </row>
    <row r="173" spans="1:12" x14ac:dyDescent="0.25">
      <c r="A173" s="2">
        <v>172</v>
      </c>
      <c r="B173" s="2" t="s">
        <v>679</v>
      </c>
      <c r="C173" s="2">
        <v>3</v>
      </c>
      <c r="D173" s="2">
        <v>2</v>
      </c>
      <c r="E173" s="2">
        <v>4</v>
      </c>
      <c r="F173" s="10" t="s">
        <v>8</v>
      </c>
      <c r="G173" s="9">
        <v>112.72499999999999</v>
      </c>
      <c r="H173" s="271" t="s">
        <v>176</v>
      </c>
      <c r="I173" s="8"/>
      <c r="J173" s="59"/>
      <c r="K173" s="8" t="s">
        <v>37</v>
      </c>
      <c r="L173" s="59"/>
    </row>
    <row r="174" spans="1:12" x14ac:dyDescent="0.25">
      <c r="A174" s="2">
        <v>173</v>
      </c>
      <c r="B174" s="2" t="s">
        <v>680</v>
      </c>
      <c r="C174" s="2">
        <v>3</v>
      </c>
      <c r="D174" s="2">
        <v>2</v>
      </c>
      <c r="E174" s="2">
        <v>5</v>
      </c>
      <c r="F174" s="6" t="s">
        <v>306</v>
      </c>
      <c r="G174" s="9">
        <v>116.286</v>
      </c>
      <c r="H174" s="271" t="s">
        <v>176</v>
      </c>
      <c r="I174" s="8"/>
      <c r="J174" s="59"/>
      <c r="K174" s="8" t="s">
        <v>37</v>
      </c>
      <c r="L174" s="59"/>
    </row>
    <row r="175" spans="1:12" x14ac:dyDescent="0.25">
      <c r="A175" s="2">
        <v>174</v>
      </c>
      <c r="B175" s="2" t="s">
        <v>681</v>
      </c>
      <c r="C175" s="2">
        <v>3</v>
      </c>
      <c r="D175" s="2">
        <v>2</v>
      </c>
      <c r="E175" s="2">
        <v>6</v>
      </c>
      <c r="F175" s="10" t="s">
        <v>8</v>
      </c>
      <c r="G175" s="9">
        <v>80</v>
      </c>
      <c r="H175" s="271" t="s">
        <v>176</v>
      </c>
      <c r="I175" s="8"/>
      <c r="J175" s="59"/>
      <c r="K175" s="8" t="s">
        <v>37</v>
      </c>
      <c r="L175" s="59"/>
    </row>
    <row r="176" spans="1:12" x14ac:dyDescent="0.25">
      <c r="A176" s="2">
        <v>175</v>
      </c>
      <c r="B176" s="2" t="s">
        <v>682</v>
      </c>
      <c r="C176" s="13">
        <v>3</v>
      </c>
      <c r="D176" s="13">
        <v>2</v>
      </c>
      <c r="E176" s="13">
        <v>7</v>
      </c>
      <c r="F176" s="6" t="s">
        <v>306</v>
      </c>
      <c r="G176" s="15">
        <v>80</v>
      </c>
      <c r="H176" s="271" t="s">
        <v>176</v>
      </c>
      <c r="I176" s="8"/>
      <c r="J176" s="59"/>
      <c r="K176" s="8" t="s">
        <v>37</v>
      </c>
      <c r="L176" s="59"/>
    </row>
    <row r="177" spans="1:12" x14ac:dyDescent="0.25">
      <c r="A177" s="2">
        <v>176</v>
      </c>
      <c r="B177" s="2" t="s">
        <v>683</v>
      </c>
      <c r="C177" s="2">
        <v>3</v>
      </c>
      <c r="D177" s="2">
        <v>2</v>
      </c>
      <c r="E177" s="2">
        <v>8</v>
      </c>
      <c r="F177" s="6" t="s">
        <v>306</v>
      </c>
      <c r="G177" s="9">
        <v>80</v>
      </c>
      <c r="H177" s="271" t="s">
        <v>176</v>
      </c>
      <c r="I177" s="8"/>
      <c r="J177" s="59"/>
      <c r="K177" s="8" t="s">
        <v>37</v>
      </c>
      <c r="L177" s="59"/>
    </row>
    <row r="178" spans="1:12" x14ac:dyDescent="0.25">
      <c r="A178" s="2">
        <v>177</v>
      </c>
      <c r="B178" s="2" t="s">
        <v>684</v>
      </c>
      <c r="C178" s="2">
        <v>3</v>
      </c>
      <c r="D178" s="2">
        <v>2</v>
      </c>
      <c r="E178" s="2">
        <v>9</v>
      </c>
      <c r="F178" s="10" t="s">
        <v>8</v>
      </c>
      <c r="G178" s="9">
        <v>80</v>
      </c>
      <c r="H178" s="271" t="s">
        <v>176</v>
      </c>
      <c r="I178" s="8"/>
      <c r="J178" s="59"/>
      <c r="K178" s="8" t="s">
        <v>37</v>
      </c>
      <c r="L178" s="59"/>
    </row>
    <row r="179" spans="1:12" x14ac:dyDescent="0.25">
      <c r="A179" s="2">
        <v>178</v>
      </c>
      <c r="B179" s="2" t="s">
        <v>685</v>
      </c>
      <c r="C179" s="2">
        <v>3</v>
      </c>
      <c r="D179" s="2">
        <v>2</v>
      </c>
      <c r="E179" s="2">
        <v>10</v>
      </c>
      <c r="F179" s="6" t="s">
        <v>306</v>
      </c>
      <c r="G179" s="9">
        <v>80</v>
      </c>
      <c r="H179" s="271" t="s">
        <v>176</v>
      </c>
      <c r="I179" s="8"/>
      <c r="J179" s="59"/>
      <c r="K179" s="8" t="s">
        <v>37</v>
      </c>
      <c r="L179" s="59"/>
    </row>
    <row r="180" spans="1:12" x14ac:dyDescent="0.25">
      <c r="A180" s="2">
        <v>179</v>
      </c>
      <c r="B180" s="2" t="s">
        <v>686</v>
      </c>
      <c r="C180" s="2">
        <v>3</v>
      </c>
      <c r="D180" s="2">
        <v>3</v>
      </c>
      <c r="E180" s="2">
        <v>1</v>
      </c>
      <c r="F180" s="10" t="s">
        <v>8</v>
      </c>
      <c r="G180" s="9">
        <v>80</v>
      </c>
      <c r="H180" s="271" t="s">
        <v>176</v>
      </c>
      <c r="I180" s="8"/>
      <c r="J180" s="59"/>
      <c r="K180" s="8" t="s">
        <v>37</v>
      </c>
      <c r="L180" s="59"/>
    </row>
    <row r="181" spans="1:12" x14ac:dyDescent="0.25">
      <c r="A181" s="2">
        <v>180</v>
      </c>
      <c r="B181" s="2" t="s">
        <v>687</v>
      </c>
      <c r="C181" s="2">
        <v>3</v>
      </c>
      <c r="D181" s="2">
        <v>3</v>
      </c>
      <c r="E181" s="2">
        <v>2</v>
      </c>
      <c r="F181" s="6" t="s">
        <v>306</v>
      </c>
      <c r="G181" s="9">
        <v>80</v>
      </c>
      <c r="H181" s="271" t="s">
        <v>176</v>
      </c>
      <c r="I181" s="8"/>
      <c r="J181" s="59"/>
      <c r="K181" s="8" t="s">
        <v>37</v>
      </c>
      <c r="L181" s="59"/>
    </row>
    <row r="182" spans="1:12" x14ac:dyDescent="0.25">
      <c r="A182" s="2">
        <v>181</v>
      </c>
      <c r="B182" s="2" t="s">
        <v>688</v>
      </c>
      <c r="C182" s="2">
        <v>3</v>
      </c>
      <c r="D182" s="2">
        <v>3</v>
      </c>
      <c r="E182" s="2">
        <v>3</v>
      </c>
      <c r="F182" s="6" t="s">
        <v>306</v>
      </c>
      <c r="G182" s="9">
        <v>80</v>
      </c>
      <c r="H182" s="271" t="s">
        <v>176</v>
      </c>
      <c r="I182" s="8"/>
      <c r="J182" s="59"/>
      <c r="K182" s="8" t="s">
        <v>37</v>
      </c>
      <c r="L182" s="59"/>
    </row>
    <row r="183" spans="1:12" x14ac:dyDescent="0.25">
      <c r="A183" s="2">
        <v>182</v>
      </c>
      <c r="B183" s="2" t="s">
        <v>689</v>
      </c>
      <c r="C183" s="2">
        <v>3</v>
      </c>
      <c r="D183" s="2">
        <v>3</v>
      </c>
      <c r="E183" s="2">
        <v>4</v>
      </c>
      <c r="F183" s="10" t="s">
        <v>8</v>
      </c>
      <c r="G183" s="9">
        <v>80</v>
      </c>
      <c r="H183" s="271" t="s">
        <v>176</v>
      </c>
      <c r="I183" s="8"/>
      <c r="J183" s="59"/>
      <c r="K183" s="8" t="s">
        <v>37</v>
      </c>
      <c r="L183" s="59"/>
    </row>
    <row r="184" spans="1:12" x14ac:dyDescent="0.25">
      <c r="A184" s="2">
        <v>183</v>
      </c>
      <c r="B184" s="2" t="s">
        <v>690</v>
      </c>
      <c r="C184" s="2">
        <v>3</v>
      </c>
      <c r="D184" s="2">
        <v>3</v>
      </c>
      <c r="E184" s="2">
        <v>5</v>
      </c>
      <c r="F184" s="6" t="s">
        <v>306</v>
      </c>
      <c r="G184" s="9">
        <v>80</v>
      </c>
      <c r="H184" s="271" t="s">
        <v>176</v>
      </c>
      <c r="I184" s="8"/>
      <c r="J184" s="59"/>
      <c r="K184" s="8" t="s">
        <v>37</v>
      </c>
      <c r="L184" s="59"/>
    </row>
    <row r="185" spans="1:12" x14ac:dyDescent="0.25">
      <c r="A185" s="2">
        <v>184</v>
      </c>
      <c r="B185" s="2" t="s">
        <v>691</v>
      </c>
      <c r="C185" s="2">
        <v>3</v>
      </c>
      <c r="D185" s="2">
        <v>3</v>
      </c>
      <c r="E185" s="2">
        <v>6</v>
      </c>
      <c r="F185" s="6" t="s">
        <v>306</v>
      </c>
      <c r="G185" s="9">
        <v>80</v>
      </c>
      <c r="H185" s="271" t="s">
        <v>176</v>
      </c>
      <c r="I185" s="8"/>
      <c r="J185" s="59"/>
      <c r="K185" s="8" t="s">
        <v>37</v>
      </c>
      <c r="L185" s="59"/>
    </row>
    <row r="186" spans="1:12" x14ac:dyDescent="0.25">
      <c r="A186" s="2">
        <v>185</v>
      </c>
      <c r="B186" s="2" t="s">
        <v>692</v>
      </c>
      <c r="C186" s="2">
        <v>3</v>
      </c>
      <c r="D186" s="2">
        <v>3</v>
      </c>
      <c r="E186" s="2">
        <v>7</v>
      </c>
      <c r="F186" s="10" t="s">
        <v>8</v>
      </c>
      <c r="G186" s="9">
        <v>108.857</v>
      </c>
      <c r="H186" s="271" t="s">
        <v>176</v>
      </c>
      <c r="I186" s="8"/>
      <c r="J186" s="59"/>
      <c r="K186" s="8" t="s">
        <v>37</v>
      </c>
      <c r="L186" s="59"/>
    </row>
    <row r="187" spans="1:12" x14ac:dyDescent="0.25">
      <c r="A187" s="2">
        <v>186</v>
      </c>
      <c r="B187" s="2" t="s">
        <v>693</v>
      </c>
      <c r="C187" s="2">
        <v>3</v>
      </c>
      <c r="D187" s="2">
        <v>3</v>
      </c>
      <c r="E187" s="2">
        <v>8</v>
      </c>
      <c r="F187" s="10" t="s">
        <v>8</v>
      </c>
      <c r="G187" s="9">
        <v>116.286</v>
      </c>
      <c r="H187" s="271" t="s">
        <v>176</v>
      </c>
      <c r="I187" s="8"/>
      <c r="J187" s="59"/>
      <c r="K187" s="8" t="s">
        <v>37</v>
      </c>
      <c r="L187" s="59"/>
    </row>
    <row r="188" spans="1:12" x14ac:dyDescent="0.25">
      <c r="A188" s="2">
        <v>187</v>
      </c>
      <c r="B188" s="2" t="s">
        <v>694</v>
      </c>
      <c r="C188" s="2">
        <v>3</v>
      </c>
      <c r="D188" s="2">
        <v>3</v>
      </c>
      <c r="E188" s="2">
        <v>9</v>
      </c>
      <c r="F188" s="6" t="s">
        <v>306</v>
      </c>
      <c r="G188" s="9">
        <v>80</v>
      </c>
      <c r="H188" s="271" t="s">
        <v>176</v>
      </c>
      <c r="I188" s="8"/>
      <c r="J188" s="59"/>
      <c r="K188" s="8" t="s">
        <v>37</v>
      </c>
      <c r="L188" s="59"/>
    </row>
    <row r="189" spans="1:12" x14ac:dyDescent="0.25">
      <c r="A189" s="2">
        <v>188</v>
      </c>
      <c r="B189" s="2" t="s">
        <v>695</v>
      </c>
      <c r="C189" s="2">
        <v>3</v>
      </c>
      <c r="D189" s="2">
        <v>3</v>
      </c>
      <c r="E189" s="2">
        <v>10</v>
      </c>
      <c r="F189" s="6" t="s">
        <v>306</v>
      </c>
      <c r="G189" s="9">
        <v>80</v>
      </c>
      <c r="H189" s="271" t="s">
        <v>176</v>
      </c>
      <c r="I189" s="8"/>
      <c r="J189" s="59"/>
      <c r="K189" s="8" t="s">
        <v>37</v>
      </c>
      <c r="L189" s="59"/>
    </row>
    <row r="190" spans="1:12" x14ac:dyDescent="0.25">
      <c r="A190" s="2">
        <v>189</v>
      </c>
      <c r="B190" s="2" t="s">
        <v>696</v>
      </c>
      <c r="C190" s="2">
        <v>3</v>
      </c>
      <c r="D190" s="2">
        <v>3</v>
      </c>
      <c r="E190" s="2">
        <v>11</v>
      </c>
      <c r="F190" s="10" t="s">
        <v>8</v>
      </c>
      <c r="G190" s="9">
        <v>80</v>
      </c>
      <c r="H190" s="271" t="s">
        <v>176</v>
      </c>
      <c r="I190" s="8"/>
      <c r="J190" s="59"/>
      <c r="K190" s="8" t="s">
        <v>37</v>
      </c>
      <c r="L190" s="59"/>
    </row>
    <row r="191" spans="1:12" x14ac:dyDescent="0.25">
      <c r="A191" s="2">
        <v>190</v>
      </c>
      <c r="B191" s="2" t="s">
        <v>697</v>
      </c>
      <c r="C191" s="2">
        <v>3</v>
      </c>
      <c r="D191" s="2">
        <v>3</v>
      </c>
      <c r="E191" s="2">
        <v>12</v>
      </c>
      <c r="F191" s="6" t="s">
        <v>306</v>
      </c>
      <c r="G191" s="9">
        <v>80</v>
      </c>
      <c r="H191" s="271" t="s">
        <v>176</v>
      </c>
      <c r="I191" s="8"/>
      <c r="J191" s="59"/>
      <c r="K191" s="8" t="s">
        <v>37</v>
      </c>
      <c r="L191" s="59"/>
    </row>
    <row r="192" spans="1:12" x14ac:dyDescent="0.25">
      <c r="A192" s="2">
        <v>191</v>
      </c>
      <c r="B192" s="2" t="s">
        <v>698</v>
      </c>
      <c r="C192" s="2">
        <v>3</v>
      </c>
      <c r="D192" s="2">
        <v>3</v>
      </c>
      <c r="E192" s="2">
        <v>13</v>
      </c>
      <c r="F192" s="6" t="s">
        <v>306</v>
      </c>
      <c r="G192" s="9">
        <v>80</v>
      </c>
      <c r="H192" s="271" t="s">
        <v>176</v>
      </c>
      <c r="I192" s="8"/>
      <c r="J192" s="59"/>
      <c r="K192" s="8" t="s">
        <v>37</v>
      </c>
      <c r="L192" s="59"/>
    </row>
    <row r="193" spans="1:12" x14ac:dyDescent="0.25">
      <c r="A193" s="2">
        <v>192</v>
      </c>
      <c r="B193" s="2" t="s">
        <v>699</v>
      </c>
      <c r="C193" s="2">
        <v>3</v>
      </c>
      <c r="D193" s="2">
        <v>3</v>
      </c>
      <c r="E193" s="2">
        <v>14</v>
      </c>
      <c r="F193" s="10" t="s">
        <v>8</v>
      </c>
      <c r="G193" s="9">
        <v>80</v>
      </c>
      <c r="H193" s="271" t="s">
        <v>176</v>
      </c>
      <c r="I193" s="8"/>
      <c r="J193" s="59"/>
      <c r="K193" s="8" t="s">
        <v>37</v>
      </c>
      <c r="L193" s="59"/>
    </row>
    <row r="194" spans="1:12" x14ac:dyDescent="0.25">
      <c r="A194" s="2">
        <v>193</v>
      </c>
      <c r="B194" s="2" t="s">
        <v>700</v>
      </c>
      <c r="C194" s="2">
        <v>3</v>
      </c>
      <c r="D194" s="2">
        <v>3</v>
      </c>
      <c r="E194" s="2">
        <v>15</v>
      </c>
      <c r="F194" s="6" t="s">
        <v>306</v>
      </c>
      <c r="G194" s="9">
        <v>80</v>
      </c>
      <c r="H194" s="271" t="s">
        <v>176</v>
      </c>
      <c r="I194" s="8"/>
      <c r="J194" s="59"/>
      <c r="K194" s="8" t="s">
        <v>37</v>
      </c>
      <c r="L194" s="59"/>
    </row>
    <row r="195" spans="1:12" x14ac:dyDescent="0.25">
      <c r="A195" s="2">
        <v>194</v>
      </c>
      <c r="B195" s="2" t="s">
        <v>701</v>
      </c>
      <c r="C195" s="2">
        <v>3</v>
      </c>
      <c r="D195" s="2">
        <v>3</v>
      </c>
      <c r="E195" s="2">
        <v>16</v>
      </c>
      <c r="F195" s="6" t="s">
        <v>306</v>
      </c>
      <c r="G195" s="9">
        <v>80</v>
      </c>
      <c r="H195" s="271" t="s">
        <v>176</v>
      </c>
      <c r="I195" s="8"/>
      <c r="J195" s="59"/>
      <c r="K195" s="8" t="s">
        <v>37</v>
      </c>
      <c r="L195" s="59"/>
    </row>
    <row r="196" spans="1:12" x14ac:dyDescent="0.25">
      <c r="A196" s="2">
        <v>195</v>
      </c>
      <c r="B196" s="2" t="s">
        <v>702</v>
      </c>
      <c r="C196" s="2">
        <v>3</v>
      </c>
      <c r="D196" s="2">
        <v>4</v>
      </c>
      <c r="E196" s="2">
        <v>1</v>
      </c>
      <c r="F196" s="10" t="s">
        <v>8</v>
      </c>
      <c r="G196" s="9">
        <v>115.05200000000001</v>
      </c>
      <c r="H196" s="271" t="s">
        <v>176</v>
      </c>
      <c r="I196" s="8"/>
      <c r="J196" s="59"/>
      <c r="K196" s="8" t="s">
        <v>37</v>
      </c>
      <c r="L196" s="59"/>
    </row>
    <row r="197" spans="1:12" x14ac:dyDescent="0.25">
      <c r="A197" s="2">
        <v>196</v>
      </c>
      <c r="B197" s="2" t="s">
        <v>703</v>
      </c>
      <c r="C197" s="2">
        <v>3</v>
      </c>
      <c r="D197" s="2">
        <v>4</v>
      </c>
      <c r="E197" s="2">
        <v>2</v>
      </c>
      <c r="F197" s="6" t="s">
        <v>306</v>
      </c>
      <c r="G197" s="9">
        <v>80</v>
      </c>
      <c r="H197" s="271" t="s">
        <v>176</v>
      </c>
      <c r="I197" s="8"/>
      <c r="J197" s="59"/>
      <c r="K197" s="8" t="s">
        <v>37</v>
      </c>
      <c r="L197" s="59"/>
    </row>
    <row r="198" spans="1:12" x14ac:dyDescent="0.25">
      <c r="A198" s="2">
        <v>197</v>
      </c>
      <c r="B198" s="2" t="s">
        <v>704</v>
      </c>
      <c r="C198" s="2">
        <v>3</v>
      </c>
      <c r="D198" s="2">
        <v>4</v>
      </c>
      <c r="E198" s="2">
        <v>3</v>
      </c>
      <c r="F198" s="6" t="s">
        <v>306</v>
      </c>
      <c r="G198" s="9">
        <v>80</v>
      </c>
      <c r="H198" s="271" t="s">
        <v>176</v>
      </c>
      <c r="I198" s="8"/>
      <c r="J198" s="59"/>
      <c r="K198" s="8" t="s">
        <v>37</v>
      </c>
      <c r="L198" s="59"/>
    </row>
    <row r="199" spans="1:12" x14ac:dyDescent="0.25">
      <c r="A199" s="2">
        <v>198</v>
      </c>
      <c r="B199" s="2" t="s">
        <v>705</v>
      </c>
      <c r="C199" s="2">
        <v>3</v>
      </c>
      <c r="D199" s="2">
        <v>4</v>
      </c>
      <c r="E199" s="2">
        <v>4</v>
      </c>
      <c r="F199" s="10" t="s">
        <v>8</v>
      </c>
      <c r="G199" s="9">
        <v>80</v>
      </c>
      <c r="H199" s="271" t="s">
        <v>176</v>
      </c>
      <c r="I199" s="8"/>
      <c r="J199" s="59"/>
      <c r="K199" s="8" t="s">
        <v>37</v>
      </c>
      <c r="L199" s="59"/>
    </row>
    <row r="200" spans="1:12" x14ac:dyDescent="0.25">
      <c r="A200" s="2">
        <v>199</v>
      </c>
      <c r="B200" s="2" t="s">
        <v>706</v>
      </c>
      <c r="C200" s="2">
        <v>3</v>
      </c>
      <c r="D200" s="2">
        <v>4</v>
      </c>
      <c r="E200" s="2">
        <v>5</v>
      </c>
      <c r="F200" s="6" t="s">
        <v>306</v>
      </c>
      <c r="G200" s="9">
        <v>80</v>
      </c>
      <c r="H200" s="271" t="s">
        <v>176</v>
      </c>
      <c r="I200" s="8"/>
      <c r="J200" s="59"/>
      <c r="K200" s="8" t="s">
        <v>37</v>
      </c>
      <c r="L200" s="59"/>
    </row>
    <row r="201" spans="1:12" x14ac:dyDescent="0.25">
      <c r="A201" s="2">
        <v>200</v>
      </c>
      <c r="B201" s="2" t="s">
        <v>707</v>
      </c>
      <c r="C201" s="2">
        <v>3</v>
      </c>
      <c r="D201" s="2">
        <v>4</v>
      </c>
      <c r="E201" s="2">
        <v>6</v>
      </c>
      <c r="F201" s="6" t="s">
        <v>306</v>
      </c>
      <c r="G201" s="9">
        <v>80</v>
      </c>
      <c r="H201" s="271" t="s">
        <v>176</v>
      </c>
      <c r="I201" s="8"/>
      <c r="J201" s="59"/>
      <c r="K201" s="8" t="s">
        <v>37</v>
      </c>
      <c r="L201" s="59"/>
    </row>
    <row r="202" spans="1:12" x14ac:dyDescent="0.25">
      <c r="A202" s="2">
        <v>201</v>
      </c>
      <c r="B202" s="2" t="s">
        <v>708</v>
      </c>
      <c r="C202" s="2">
        <v>3</v>
      </c>
      <c r="D202" s="2">
        <v>4</v>
      </c>
      <c r="E202" s="2">
        <v>7</v>
      </c>
      <c r="F202" s="10" t="s">
        <v>8</v>
      </c>
      <c r="G202" s="9">
        <v>80</v>
      </c>
      <c r="H202" s="271" t="s">
        <v>176</v>
      </c>
      <c r="I202" s="8"/>
      <c r="J202" s="59"/>
      <c r="K202" s="8" t="s">
        <v>37</v>
      </c>
      <c r="L202" s="59"/>
    </row>
    <row r="203" spans="1:12" x14ac:dyDescent="0.25">
      <c r="A203" s="2">
        <v>202</v>
      </c>
      <c r="B203" s="2" t="s">
        <v>709</v>
      </c>
      <c r="C203" s="2">
        <v>3</v>
      </c>
      <c r="D203" s="2">
        <v>4</v>
      </c>
      <c r="E203" s="2">
        <v>8</v>
      </c>
      <c r="F203" s="6" t="s">
        <v>306</v>
      </c>
      <c r="G203" s="9">
        <v>80</v>
      </c>
      <c r="H203" s="271" t="s">
        <v>176</v>
      </c>
      <c r="I203" s="8"/>
      <c r="J203" s="59"/>
      <c r="K203" s="8" t="s">
        <v>37</v>
      </c>
      <c r="L203" s="59"/>
    </row>
    <row r="204" spans="1:12" x14ac:dyDescent="0.25">
      <c r="A204" s="2">
        <v>203</v>
      </c>
      <c r="B204" s="2" t="s">
        <v>710</v>
      </c>
      <c r="C204" s="2">
        <v>3</v>
      </c>
      <c r="D204" s="2">
        <v>4</v>
      </c>
      <c r="E204" s="2">
        <v>9</v>
      </c>
      <c r="F204" s="6" t="s">
        <v>306</v>
      </c>
      <c r="G204" s="9">
        <v>80</v>
      </c>
      <c r="H204" s="271" t="s">
        <v>176</v>
      </c>
      <c r="I204" s="8"/>
      <c r="J204" s="59"/>
      <c r="K204" s="8" t="s">
        <v>37</v>
      </c>
      <c r="L204" s="59"/>
    </row>
    <row r="205" spans="1:12" x14ac:dyDescent="0.25">
      <c r="A205" s="2">
        <v>204</v>
      </c>
      <c r="B205" s="2" t="s">
        <v>711</v>
      </c>
      <c r="C205" s="2">
        <v>3</v>
      </c>
      <c r="D205" s="2">
        <v>4</v>
      </c>
      <c r="E205" s="2">
        <v>10</v>
      </c>
      <c r="F205" s="10" t="s">
        <v>8</v>
      </c>
      <c r="G205" s="9">
        <v>80</v>
      </c>
      <c r="H205" s="271" t="s">
        <v>176</v>
      </c>
      <c r="I205" s="8"/>
      <c r="J205" s="59"/>
      <c r="K205" s="8" t="s">
        <v>37</v>
      </c>
      <c r="L205" s="59"/>
    </row>
    <row r="206" spans="1:12" x14ac:dyDescent="0.25">
      <c r="A206" s="2">
        <v>205</v>
      </c>
      <c r="B206" s="2" t="s">
        <v>712</v>
      </c>
      <c r="C206" s="2">
        <v>3</v>
      </c>
      <c r="D206" s="2">
        <v>4</v>
      </c>
      <c r="E206" s="2">
        <v>11</v>
      </c>
      <c r="F206" s="6" t="s">
        <v>306</v>
      </c>
      <c r="G206" s="9">
        <v>108.857</v>
      </c>
      <c r="H206" s="271" t="s">
        <v>176</v>
      </c>
      <c r="I206" s="8"/>
      <c r="J206" s="59"/>
      <c r="K206" s="8" t="s">
        <v>37</v>
      </c>
      <c r="L206" s="59"/>
    </row>
    <row r="207" spans="1:12" x14ac:dyDescent="0.25">
      <c r="A207" s="2">
        <v>206</v>
      </c>
      <c r="B207" s="2" t="s">
        <v>713</v>
      </c>
      <c r="C207" s="2">
        <v>3</v>
      </c>
      <c r="D207" s="2">
        <v>4</v>
      </c>
      <c r="E207" s="2">
        <v>12</v>
      </c>
      <c r="F207" s="6" t="s">
        <v>306</v>
      </c>
      <c r="G207" s="9">
        <v>116.286</v>
      </c>
      <c r="H207" s="271" t="s">
        <v>176</v>
      </c>
      <c r="I207" s="8"/>
      <c r="J207" s="59"/>
      <c r="K207" s="8" t="s">
        <v>37</v>
      </c>
      <c r="L207" s="59"/>
    </row>
    <row r="208" spans="1:12" x14ac:dyDescent="0.25">
      <c r="A208" s="2">
        <v>207</v>
      </c>
      <c r="B208" s="2" t="s">
        <v>714</v>
      </c>
      <c r="C208" s="2">
        <v>3</v>
      </c>
      <c r="D208" s="2">
        <v>4</v>
      </c>
      <c r="E208" s="2">
        <v>13</v>
      </c>
      <c r="F208" s="6" t="s">
        <v>306</v>
      </c>
      <c r="G208" s="9">
        <v>80</v>
      </c>
      <c r="H208" s="271" t="s">
        <v>176</v>
      </c>
      <c r="I208" s="8"/>
      <c r="J208" s="59"/>
      <c r="K208" s="8" t="s">
        <v>37</v>
      </c>
      <c r="L208" s="59"/>
    </row>
    <row r="209" spans="1:12" x14ac:dyDescent="0.25">
      <c r="A209" s="2">
        <v>208</v>
      </c>
      <c r="B209" s="2" t="s">
        <v>715</v>
      </c>
      <c r="C209" s="2">
        <v>3</v>
      </c>
      <c r="D209" s="2">
        <v>4</v>
      </c>
      <c r="E209" s="2">
        <v>14</v>
      </c>
      <c r="F209" s="10" t="s">
        <v>8</v>
      </c>
      <c r="G209" s="9">
        <v>80</v>
      </c>
      <c r="H209" s="271" t="s">
        <v>176</v>
      </c>
      <c r="I209" s="8"/>
      <c r="J209" s="59"/>
      <c r="K209" s="8" t="s">
        <v>37</v>
      </c>
      <c r="L209" s="59"/>
    </row>
    <row r="210" spans="1:12" x14ac:dyDescent="0.25">
      <c r="A210" s="2">
        <v>209</v>
      </c>
      <c r="B210" s="2" t="s">
        <v>716</v>
      </c>
      <c r="C210" s="2">
        <v>3</v>
      </c>
      <c r="D210" s="2">
        <v>4</v>
      </c>
      <c r="E210" s="2">
        <v>15</v>
      </c>
      <c r="F210" s="6" t="s">
        <v>306</v>
      </c>
      <c r="G210" s="9">
        <v>80</v>
      </c>
      <c r="H210" s="271" t="s">
        <v>176</v>
      </c>
      <c r="I210" s="8"/>
      <c r="J210" s="59"/>
      <c r="K210" s="8" t="s">
        <v>37</v>
      </c>
      <c r="L210" s="59"/>
    </row>
    <row r="211" spans="1:12" x14ac:dyDescent="0.25">
      <c r="A211" s="2">
        <v>210</v>
      </c>
      <c r="B211" s="2" t="s">
        <v>717</v>
      </c>
      <c r="C211" s="2">
        <v>3</v>
      </c>
      <c r="D211" s="2">
        <v>4</v>
      </c>
      <c r="E211" s="2">
        <v>16</v>
      </c>
      <c r="F211" s="6" t="s">
        <v>306</v>
      </c>
      <c r="G211" s="9">
        <v>80</v>
      </c>
      <c r="H211" s="271" t="s">
        <v>176</v>
      </c>
      <c r="I211" s="8"/>
      <c r="J211" s="59"/>
      <c r="K211" s="8" t="s">
        <v>37</v>
      </c>
      <c r="L211" s="59"/>
    </row>
    <row r="212" spans="1:12" x14ac:dyDescent="0.25">
      <c r="A212" s="2">
        <v>211</v>
      </c>
      <c r="B212" s="2" t="s">
        <v>718</v>
      </c>
      <c r="C212" s="2">
        <v>3</v>
      </c>
      <c r="D212" s="2">
        <v>4</v>
      </c>
      <c r="E212" s="2">
        <v>17</v>
      </c>
      <c r="F212" s="10" t="s">
        <v>8</v>
      </c>
      <c r="G212" s="9">
        <v>80</v>
      </c>
      <c r="H212" s="271" t="s">
        <v>176</v>
      </c>
      <c r="I212" s="8"/>
      <c r="J212" s="59"/>
      <c r="K212" s="8" t="s">
        <v>37</v>
      </c>
      <c r="L212" s="59"/>
    </row>
    <row r="213" spans="1:12" x14ac:dyDescent="0.25">
      <c r="A213" s="2">
        <v>212</v>
      </c>
      <c r="B213" s="2" t="s">
        <v>719</v>
      </c>
      <c r="C213" s="2">
        <v>3</v>
      </c>
      <c r="D213" s="2">
        <v>4</v>
      </c>
      <c r="E213" s="2">
        <v>18</v>
      </c>
      <c r="F213" s="6" t="s">
        <v>306</v>
      </c>
      <c r="G213" s="9">
        <v>80</v>
      </c>
      <c r="H213" s="271" t="s">
        <v>176</v>
      </c>
      <c r="I213" s="8"/>
      <c r="J213" s="59"/>
      <c r="K213" s="8" t="s">
        <v>37</v>
      </c>
      <c r="L213" s="59"/>
    </row>
    <row r="214" spans="1:12" x14ac:dyDescent="0.25">
      <c r="A214" s="2">
        <v>213</v>
      </c>
      <c r="B214" s="2" t="s">
        <v>720</v>
      </c>
      <c r="C214" s="2">
        <v>3</v>
      </c>
      <c r="D214" s="2">
        <v>4</v>
      </c>
      <c r="E214" s="2">
        <v>19</v>
      </c>
      <c r="F214" s="6" t="s">
        <v>306</v>
      </c>
      <c r="G214" s="9">
        <v>80</v>
      </c>
      <c r="H214" s="271" t="s">
        <v>176</v>
      </c>
      <c r="I214" s="8"/>
      <c r="J214" s="59"/>
      <c r="K214" s="8" t="s">
        <v>37</v>
      </c>
      <c r="L214" s="59"/>
    </row>
    <row r="215" spans="1:12" x14ac:dyDescent="0.25">
      <c r="A215" s="2">
        <v>214</v>
      </c>
      <c r="B215" s="2" t="s">
        <v>721</v>
      </c>
      <c r="C215" s="2">
        <v>3</v>
      </c>
      <c r="D215" s="2">
        <v>4</v>
      </c>
      <c r="E215" s="2">
        <v>20</v>
      </c>
      <c r="F215" s="10" t="s">
        <v>8</v>
      </c>
      <c r="G215" s="9">
        <v>80</v>
      </c>
      <c r="H215" s="271" t="s">
        <v>176</v>
      </c>
      <c r="I215" s="8"/>
      <c r="J215" s="59"/>
      <c r="K215" s="8" t="s">
        <v>37</v>
      </c>
      <c r="L215" s="59"/>
    </row>
    <row r="216" spans="1:12" x14ac:dyDescent="0.25">
      <c r="A216" s="2">
        <v>215</v>
      </c>
      <c r="B216" s="2" t="s">
        <v>722</v>
      </c>
      <c r="C216" s="2">
        <v>3</v>
      </c>
      <c r="D216" s="2">
        <v>4</v>
      </c>
      <c r="E216" s="2">
        <v>21</v>
      </c>
      <c r="F216" s="6" t="s">
        <v>306</v>
      </c>
      <c r="G216" s="9">
        <v>80</v>
      </c>
      <c r="H216" s="271" t="s">
        <v>176</v>
      </c>
      <c r="I216" s="8"/>
      <c r="J216" s="59"/>
      <c r="K216" s="8" t="s">
        <v>37</v>
      </c>
      <c r="L216" s="59"/>
    </row>
    <row r="217" spans="1:12" x14ac:dyDescent="0.25">
      <c r="A217" s="2">
        <v>216</v>
      </c>
      <c r="B217" s="2" t="s">
        <v>723</v>
      </c>
      <c r="C217" s="2">
        <v>3</v>
      </c>
      <c r="D217" s="2">
        <v>4</v>
      </c>
      <c r="E217" s="2">
        <v>22</v>
      </c>
      <c r="F217" s="6" t="s">
        <v>306</v>
      </c>
      <c r="G217" s="9">
        <v>80</v>
      </c>
      <c r="H217" s="271" t="s">
        <v>176</v>
      </c>
      <c r="I217" s="8"/>
      <c r="J217" s="59"/>
      <c r="K217" s="8" t="s">
        <v>37</v>
      </c>
      <c r="L217" s="59"/>
    </row>
    <row r="218" spans="1:12" x14ac:dyDescent="0.25">
      <c r="A218" s="2">
        <v>217</v>
      </c>
      <c r="B218" s="2" t="s">
        <v>724</v>
      </c>
      <c r="C218" s="2">
        <v>3</v>
      </c>
      <c r="D218" s="2">
        <v>4</v>
      </c>
      <c r="E218" s="2">
        <v>23</v>
      </c>
      <c r="F218" s="10" t="s">
        <v>8</v>
      </c>
      <c r="G218" s="9">
        <v>80</v>
      </c>
      <c r="H218" s="271" t="s">
        <v>176</v>
      </c>
      <c r="I218" s="8"/>
      <c r="J218" s="59"/>
      <c r="K218" s="8" t="s">
        <v>37</v>
      </c>
      <c r="L218" s="59"/>
    </row>
    <row r="219" spans="1:12" x14ac:dyDescent="0.25">
      <c r="A219" s="2">
        <v>218</v>
      </c>
      <c r="B219" s="2" t="s">
        <v>725</v>
      </c>
      <c r="C219" s="2">
        <v>3</v>
      </c>
      <c r="D219" s="2">
        <v>4</v>
      </c>
      <c r="E219" s="2">
        <v>24</v>
      </c>
      <c r="F219" s="6" t="s">
        <v>306</v>
      </c>
      <c r="G219" s="9">
        <v>109.501</v>
      </c>
      <c r="H219" s="271" t="s">
        <v>176</v>
      </c>
      <c r="I219" s="8"/>
      <c r="J219" s="59"/>
      <c r="K219" s="8" t="s">
        <v>37</v>
      </c>
      <c r="L219" s="59"/>
    </row>
    <row r="220" spans="1:12" x14ac:dyDescent="0.25">
      <c r="A220" s="2">
        <v>219</v>
      </c>
      <c r="B220" s="2" t="s">
        <v>726</v>
      </c>
      <c r="C220" s="2">
        <v>4</v>
      </c>
      <c r="D220" s="2">
        <v>1</v>
      </c>
      <c r="E220" s="2">
        <v>1</v>
      </c>
      <c r="F220" s="10" t="s">
        <v>8</v>
      </c>
      <c r="G220" s="9">
        <v>138.72200000000001</v>
      </c>
      <c r="H220" s="271" t="s">
        <v>177</v>
      </c>
      <c r="I220" s="8"/>
      <c r="J220" s="59"/>
      <c r="K220" s="8" t="s">
        <v>37</v>
      </c>
      <c r="L220" s="59"/>
    </row>
    <row r="221" spans="1:12" x14ac:dyDescent="0.25">
      <c r="A221" s="2">
        <v>220</v>
      </c>
      <c r="B221" s="2" t="s">
        <v>727</v>
      </c>
      <c r="C221" s="2">
        <v>4</v>
      </c>
      <c r="D221" s="2">
        <v>1</v>
      </c>
      <c r="E221" s="2">
        <v>2</v>
      </c>
      <c r="F221" s="10" t="s">
        <v>8</v>
      </c>
      <c r="G221" s="9">
        <v>130.87899999999999</v>
      </c>
      <c r="H221" s="271" t="s">
        <v>177</v>
      </c>
      <c r="I221" s="8"/>
      <c r="J221" s="59"/>
      <c r="K221" s="8" t="s">
        <v>37</v>
      </c>
      <c r="L221" s="59"/>
    </row>
    <row r="222" spans="1:12" x14ac:dyDescent="0.25">
      <c r="A222" s="2">
        <v>221</v>
      </c>
      <c r="B222" s="2" t="s">
        <v>728</v>
      </c>
      <c r="C222" s="2">
        <v>5</v>
      </c>
      <c r="D222" s="2">
        <v>1</v>
      </c>
      <c r="E222" s="2">
        <v>1</v>
      </c>
      <c r="F222" s="10" t="s">
        <v>8</v>
      </c>
      <c r="G222" s="9">
        <v>80.302999999999997</v>
      </c>
      <c r="H222" s="271" t="s">
        <v>178</v>
      </c>
      <c r="I222" s="8"/>
      <c r="J222" s="59"/>
      <c r="K222" s="8" t="s">
        <v>37</v>
      </c>
      <c r="L222" s="59"/>
    </row>
    <row r="223" spans="1:12" x14ac:dyDescent="0.25">
      <c r="A223" s="2">
        <v>222</v>
      </c>
      <c r="B223" s="2" t="s">
        <v>729</v>
      </c>
      <c r="C223" s="2">
        <v>6</v>
      </c>
      <c r="D223" s="2">
        <v>1</v>
      </c>
      <c r="E223" s="2">
        <v>1</v>
      </c>
      <c r="F223" s="10" t="s">
        <v>8</v>
      </c>
      <c r="G223" s="9">
        <v>102.812</v>
      </c>
      <c r="H223" s="271" t="s">
        <v>178</v>
      </c>
      <c r="I223" s="8"/>
      <c r="J223" s="59"/>
      <c r="K223" s="8" t="s">
        <v>37</v>
      </c>
      <c r="L223" s="59"/>
    </row>
    <row r="224" spans="1:12" x14ac:dyDescent="0.25">
      <c r="A224" s="2">
        <v>223</v>
      </c>
      <c r="B224" s="2" t="s">
        <v>730</v>
      </c>
      <c r="C224" s="2">
        <v>6</v>
      </c>
      <c r="D224" s="2">
        <v>1</v>
      </c>
      <c r="E224" s="2">
        <v>2</v>
      </c>
      <c r="F224" s="6" t="s">
        <v>306</v>
      </c>
      <c r="G224" s="9">
        <v>91.775999999999996</v>
      </c>
      <c r="H224" s="271" t="s">
        <v>178</v>
      </c>
      <c r="I224" s="8"/>
      <c r="J224" s="59"/>
      <c r="K224" s="8" t="s">
        <v>37</v>
      </c>
      <c r="L224" s="59"/>
    </row>
    <row r="225" spans="1:12" x14ac:dyDescent="0.25">
      <c r="A225" s="2">
        <v>224</v>
      </c>
      <c r="B225" s="2" t="s">
        <v>731</v>
      </c>
      <c r="C225" s="2">
        <v>6</v>
      </c>
      <c r="D225" s="2">
        <v>1</v>
      </c>
      <c r="E225" s="2">
        <v>3</v>
      </c>
      <c r="F225" s="6" t="s">
        <v>306</v>
      </c>
      <c r="G225" s="9">
        <v>89.816999999999993</v>
      </c>
      <c r="H225" s="271" t="s">
        <v>178</v>
      </c>
      <c r="I225" s="8"/>
      <c r="J225" s="59"/>
      <c r="K225" s="8" t="s">
        <v>37</v>
      </c>
      <c r="L225" s="59"/>
    </row>
    <row r="226" spans="1:12" x14ac:dyDescent="0.25">
      <c r="A226" s="2">
        <v>225</v>
      </c>
      <c r="B226" s="2" t="s">
        <v>732</v>
      </c>
      <c r="C226" s="2">
        <v>6</v>
      </c>
      <c r="D226" s="2">
        <v>1</v>
      </c>
      <c r="E226" s="2">
        <v>4</v>
      </c>
      <c r="F226" s="10" t="s">
        <v>8</v>
      </c>
      <c r="G226" s="9">
        <v>87.858999999999995</v>
      </c>
      <c r="H226" s="271" t="s">
        <v>178</v>
      </c>
      <c r="I226" s="8"/>
      <c r="J226" s="59"/>
      <c r="K226" s="8" t="s">
        <v>37</v>
      </c>
      <c r="L226" s="59"/>
    </row>
    <row r="227" spans="1:12" x14ac:dyDescent="0.25">
      <c r="A227" s="2">
        <v>226</v>
      </c>
      <c r="B227" s="2" t="s">
        <v>733</v>
      </c>
      <c r="C227" s="2">
        <v>6</v>
      </c>
      <c r="D227" s="2">
        <v>1</v>
      </c>
      <c r="E227" s="2">
        <v>5</v>
      </c>
      <c r="F227" s="6" t="s">
        <v>306</v>
      </c>
      <c r="G227" s="9">
        <v>85.900999999999996</v>
      </c>
      <c r="H227" s="271" t="s">
        <v>178</v>
      </c>
      <c r="I227" s="8"/>
      <c r="J227" s="59"/>
      <c r="K227" s="8" t="s">
        <v>37</v>
      </c>
      <c r="L227" s="59"/>
    </row>
    <row r="228" spans="1:12" x14ac:dyDescent="0.25">
      <c r="A228" s="2">
        <v>227</v>
      </c>
      <c r="B228" s="2" t="s">
        <v>734</v>
      </c>
      <c r="C228" s="2">
        <v>6</v>
      </c>
      <c r="D228" s="2">
        <v>1</v>
      </c>
      <c r="E228" s="2">
        <v>6</v>
      </c>
      <c r="F228" s="6" t="s">
        <v>306</v>
      </c>
      <c r="G228" s="9">
        <v>83.941999999999993</v>
      </c>
      <c r="H228" s="271" t="s">
        <v>178</v>
      </c>
      <c r="I228" s="8"/>
      <c r="J228" s="59"/>
      <c r="K228" s="8" t="s">
        <v>37</v>
      </c>
      <c r="L228" s="59"/>
    </row>
    <row r="229" spans="1:12" x14ac:dyDescent="0.25">
      <c r="A229" s="2">
        <v>228</v>
      </c>
      <c r="B229" s="2" t="s">
        <v>735</v>
      </c>
      <c r="C229" s="2">
        <v>6</v>
      </c>
      <c r="D229" s="2">
        <v>1</v>
      </c>
      <c r="E229" s="2">
        <v>7</v>
      </c>
      <c r="F229" s="10" t="s">
        <v>8</v>
      </c>
      <c r="G229" s="9">
        <v>81.983999999999995</v>
      </c>
      <c r="H229" s="271" t="s">
        <v>178</v>
      </c>
      <c r="I229" s="8"/>
      <c r="J229" s="59"/>
      <c r="K229" s="8" t="s">
        <v>37</v>
      </c>
      <c r="L229" s="59"/>
    </row>
    <row r="230" spans="1:12" x14ac:dyDescent="0.25">
      <c r="A230" s="2">
        <v>229</v>
      </c>
      <c r="B230" s="2" t="s">
        <v>736</v>
      </c>
      <c r="C230" s="2">
        <v>6</v>
      </c>
      <c r="D230" s="2">
        <v>1</v>
      </c>
      <c r="E230" s="2">
        <v>8</v>
      </c>
      <c r="F230" s="6" t="s">
        <v>306</v>
      </c>
      <c r="G230" s="9">
        <v>80.025999999999996</v>
      </c>
      <c r="H230" s="271" t="s">
        <v>178</v>
      </c>
      <c r="I230" s="8"/>
      <c r="J230" s="59"/>
      <c r="K230" s="8" t="s">
        <v>37</v>
      </c>
      <c r="L230" s="59"/>
    </row>
    <row r="231" spans="1:12" x14ac:dyDescent="0.25">
      <c r="A231" s="2">
        <v>230</v>
      </c>
      <c r="B231" s="2" t="s">
        <v>737</v>
      </c>
      <c r="C231" s="2">
        <v>6</v>
      </c>
      <c r="D231" s="2">
        <v>1</v>
      </c>
      <c r="E231" s="2">
        <v>9</v>
      </c>
      <c r="F231" s="6" t="s">
        <v>306</v>
      </c>
      <c r="G231" s="9">
        <v>81.149000000000001</v>
      </c>
      <c r="H231" s="271" t="s">
        <v>178</v>
      </c>
      <c r="I231" s="8"/>
      <c r="J231" s="59"/>
      <c r="K231" s="8" t="s">
        <v>37</v>
      </c>
      <c r="L231" s="59"/>
    </row>
    <row r="232" spans="1:12" x14ac:dyDescent="0.25">
      <c r="A232" s="2">
        <v>231</v>
      </c>
      <c r="B232" s="2" t="s">
        <v>738</v>
      </c>
      <c r="C232" s="2">
        <v>6</v>
      </c>
      <c r="D232" s="2">
        <v>1</v>
      </c>
      <c r="E232" s="2">
        <v>10</v>
      </c>
      <c r="F232" s="10" t="s">
        <v>8</v>
      </c>
      <c r="G232" s="9">
        <v>82.01</v>
      </c>
      <c r="H232" s="271" t="s">
        <v>178</v>
      </c>
      <c r="I232" s="8"/>
      <c r="J232" s="59"/>
      <c r="K232" s="8" t="s">
        <v>37</v>
      </c>
      <c r="L232" s="59"/>
    </row>
    <row r="233" spans="1:12" x14ac:dyDescent="0.25">
      <c r="A233" s="2">
        <v>232</v>
      </c>
      <c r="B233" s="2" t="s">
        <v>739</v>
      </c>
      <c r="C233" s="2">
        <v>6</v>
      </c>
      <c r="D233" s="2">
        <v>1</v>
      </c>
      <c r="E233" s="2">
        <v>11</v>
      </c>
      <c r="F233" s="10" t="s">
        <v>8</v>
      </c>
      <c r="G233" s="9">
        <v>147.453</v>
      </c>
      <c r="H233" s="271" t="s">
        <v>178</v>
      </c>
      <c r="I233" s="8"/>
      <c r="J233" s="59"/>
      <c r="K233" s="8" t="s">
        <v>37</v>
      </c>
      <c r="L233" s="59"/>
    </row>
    <row r="234" spans="1:12" x14ac:dyDescent="0.25">
      <c r="A234" s="2">
        <v>233</v>
      </c>
      <c r="B234" s="2" t="s">
        <v>740</v>
      </c>
      <c r="C234" s="2">
        <v>6</v>
      </c>
      <c r="D234" s="2">
        <v>1</v>
      </c>
      <c r="E234" s="2">
        <v>12</v>
      </c>
      <c r="F234" s="6" t="s">
        <v>306</v>
      </c>
      <c r="G234" s="9">
        <v>91.872</v>
      </c>
      <c r="H234" s="271" t="s">
        <v>178</v>
      </c>
      <c r="I234" s="8"/>
      <c r="J234" s="59"/>
      <c r="K234" s="8" t="s">
        <v>37</v>
      </c>
      <c r="L234" s="59"/>
    </row>
  </sheetData>
  <dataValidations disablePrompts="1" count="1">
    <dataValidation type="list" allowBlank="1" showInputMessage="1" showErrorMessage="1" sqref="J2:J234">
      <formula1>$FD$2:$FD$8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INVENTARIO</vt:lpstr>
      <vt:lpstr>BASE</vt:lpstr>
      <vt:lpstr>OBRA</vt:lpstr>
      <vt:lpstr>UBICACIONES VENTAS</vt:lpstr>
      <vt:lpstr>PROSPECCIÓN</vt:lpstr>
      <vt:lpstr>CRÉDITO PUENTE</vt:lpstr>
      <vt:lpstr>PROYECCIONES FIRMA</vt:lpstr>
      <vt:lpstr>METAS</vt:lpstr>
      <vt:lpstr>MADURACIÓN ENGANCHES</vt:lpstr>
      <vt:lpstr>SEGUIMIENTO DPF</vt:lpstr>
      <vt:lpstr>COMISIONES VENTAS</vt:lpstr>
      <vt:lpstr>TEMAS VARIOS</vt:lpstr>
      <vt:lpstr>MASCARILLA INVENTARIO</vt:lpstr>
      <vt:lpstr>MASCARILLAS PROSPECCIÓN</vt:lpstr>
      <vt:lpstr>MASCARILLA SEG-CLIENTE</vt:lpstr>
      <vt:lpstr>MASCARILLA PAGO DE COMISIONES</vt:lpstr>
      <vt:lpstr>VISOR ANTERIOR A MASCARILLA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OMAR CASILLAS</cp:lastModifiedBy>
  <dcterms:created xsi:type="dcterms:W3CDTF">2012-05-15T20:54:04Z</dcterms:created>
  <dcterms:modified xsi:type="dcterms:W3CDTF">2012-08-01T21:27:06Z</dcterms:modified>
</cp:coreProperties>
</file>